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harts/chart1.xml" ContentType="application/vnd.openxmlformats-officedocument.drawingml.chart+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9.xml" ContentType="application/vnd.openxmlformats-officedocument.drawing+xml"/>
  <Override PartName="/xl/drawings/drawing10.xml" ContentType="application/vnd.openxmlformats-officedocument.drawing+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xl/charts/chart21.xml" ContentType="application/vnd.openxmlformats-officedocument.drawingml.chart+xml"/>
  <Override PartName="/xl/charts/style23.xml" ContentType="application/vnd.ms-office.chartstyle+xml"/>
  <Override PartName="/xl/charts/colors2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4.xml" ContentType="application/vnd.openxmlformats-officedocument.drawing+xml"/>
  <Override PartName="/xl/charts/chart22.xml" ContentType="application/vnd.openxmlformats-officedocument.drawingml.chart+xml"/>
  <Override PartName="/xl/charts/style24.xml" ContentType="application/vnd.ms-office.chartstyle+xml"/>
  <Override PartName="/xl/charts/colors24.xml" ContentType="application/vnd.ms-office.chartcolorstyle+xml"/>
  <Override PartName="/xl/drawings/drawing15.xml" ContentType="application/vnd.openxmlformats-officedocument.drawing+xml"/>
  <Override PartName="/xl/charts/chart23.xml" ContentType="application/vnd.openxmlformats-officedocument.drawingml.chart+xml"/>
  <Override PartName="/xl/charts/style25.xml" ContentType="application/vnd.ms-office.chartstyle+xml"/>
  <Override PartName="/xl/charts/colors25.xml" ContentType="application/vnd.ms-office.chartcolorstyle+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harts/chart24.xml" ContentType="application/vnd.openxmlformats-officedocument.drawingml.chart+xml"/>
  <Override PartName="/xl/charts/style26.xml" ContentType="application/vnd.ms-office.chartstyle+xml"/>
  <Override PartName="/xl/charts/colors26.xml" ContentType="application/vnd.ms-office.chartcolorstyle+xml"/>
  <Override PartName="/xl/charts/chart25.xml" ContentType="application/vnd.openxmlformats-officedocument.drawingml.chart+xml"/>
  <Override PartName="/xl/charts/style27.xml" ContentType="application/vnd.ms-office.chartstyle+xml"/>
  <Override PartName="/xl/charts/colors27.xml" ContentType="application/vnd.ms-office.chartcolorsty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drawings/drawing21.xml" ContentType="application/vnd.openxmlformats-officedocument.drawing+xml"/>
  <Override PartName="/xl/drawings/drawing22.xml" ContentType="application/vnd.openxmlformats-officedocument.drawing+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charts/chart28.xml" ContentType="application/vnd.openxmlformats-officedocument.drawingml.chart+xml"/>
  <Override PartName="/xl/charts/style30.xml" ContentType="application/vnd.ms-office.chartstyle+xml"/>
  <Override PartName="/xl/charts/colors30.xml" ContentType="application/vnd.ms-office.chartcolorstyle+xml"/>
  <Override PartName="/xl/charts/chart29.xml" ContentType="application/vnd.openxmlformats-officedocument.drawingml.chart+xml"/>
  <Override PartName="/xl/charts/style31.xml" ContentType="application/vnd.ms-office.chartstyle+xml"/>
  <Override PartName="/xl/charts/colors31.xml" ContentType="application/vnd.ms-office.chartcolorstyle+xml"/>
  <Override PartName="/xl/charts/chart30.xml" ContentType="application/vnd.openxmlformats-officedocument.drawingml.chart+xml"/>
  <Override PartName="/xl/charts/style32.xml" ContentType="application/vnd.ms-office.chartstyle+xml"/>
  <Override PartName="/xl/charts/colors32.xml" ContentType="application/vnd.ms-office.chartcolorstyle+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charts/chart31.xml" ContentType="application/vnd.openxmlformats-officedocument.drawingml.chart+xml"/>
  <Override PartName="/xl/charts/style33.xml" ContentType="application/vnd.ms-office.chartstyle+xml"/>
  <Override PartName="/xl/charts/colors33.xml" ContentType="application/vnd.ms-office.chartcolorstyle+xml"/>
  <Override PartName="/xl/drawings/drawing46.xml" ContentType="application/vnd.openxmlformats-officedocument.drawing+xml"/>
  <Override PartName="/xl/charts/chart32.xml" ContentType="application/vnd.openxmlformats-officedocument.drawingml.chart+xml"/>
  <Override PartName="/xl/charts/style34.xml" ContentType="application/vnd.ms-office.chartstyle+xml"/>
  <Override PartName="/xl/charts/colors34.xml" ContentType="application/vnd.ms-office.chartcolorstyle+xml"/>
  <Override PartName="/xl/charts/chart33.xml" ContentType="application/vnd.openxmlformats-officedocument.drawingml.chart+xml"/>
  <Override PartName="/xl/charts/style35.xml" ContentType="application/vnd.ms-office.chartstyle+xml"/>
  <Override PartName="/xl/charts/colors35.xml" ContentType="application/vnd.ms-office.chartcolorstyle+xml"/>
  <Override PartName="/xl/drawings/drawing47.xml" ContentType="application/vnd.openxmlformats-officedocument.drawing+xml"/>
  <Override PartName="/xl/charts/chart34.xml" ContentType="application/vnd.openxmlformats-officedocument.drawingml.chart+xml"/>
  <Override PartName="/xl/charts/style36.xml" ContentType="application/vnd.ms-office.chartstyle+xml"/>
  <Override PartName="/xl/charts/colors36.xml" ContentType="application/vnd.ms-office.chartcolorstyle+xml"/>
  <Override PartName="/xl/drawings/drawing48.xml" ContentType="application/vnd.openxmlformats-officedocument.drawing+xml"/>
  <Override PartName="/xl/charts/chart35.xml" ContentType="application/vnd.openxmlformats-officedocument.drawingml.chart+xml"/>
  <Override PartName="/xl/charts/style37.xml" ContentType="application/vnd.ms-office.chartstyle+xml"/>
  <Override PartName="/xl/charts/colors37.xml" ContentType="application/vnd.ms-office.chartcolorstyle+xml"/>
  <Override PartName="/xl/charts/chart36.xml" ContentType="application/vnd.openxmlformats-officedocument.drawingml.chart+xml"/>
  <Override PartName="/xl/charts/style38.xml" ContentType="application/vnd.ms-office.chartstyle+xml"/>
  <Override PartName="/xl/charts/colors38.xml" ContentType="application/vnd.ms-office.chartcolorstyle+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filterPrivacy="1" hidePivotFieldList="1"/>
  <xr:revisionPtr revIDLastSave="0" documentId="13_ncr:1_{562F2EE0-F7A4-45E4-83CA-F560817C88B8}" xr6:coauthVersionLast="47" xr6:coauthVersionMax="47" xr10:uidLastSave="{00000000-0000-0000-0000-000000000000}"/>
  <bookViews>
    <workbookView xWindow="-120" yWindow="-120" windowWidth="29040" windowHeight="15840" tabRatio="780" firstSheet="45" activeTab="45" xr2:uid="{00000000-000D-0000-FFFF-FFFF00000000}"/>
  </bookViews>
  <sheets>
    <sheet name="컴퓨터과학기초" sheetId="47" r:id="rId1"/>
    <sheet name="AI_개론" sheetId="48" r:id="rId2"/>
    <sheet name="파이썬_분석개발환경설정" sheetId="50" r:id="rId3"/>
    <sheet name="numpy_pandas" sheetId="49" r:id="rId4"/>
    <sheet name="EDA" sheetId="11" r:id="rId5"/>
    <sheet name="기초수학_대수학(Algebra)" sheetId="1" r:id="rId6"/>
    <sheet name="자연상수" sheetId="8" r:id="rId7"/>
    <sheet name="선형대수" sheetId="2" r:id="rId8"/>
    <sheet name="기하학" sheetId="6" r:id="rId9"/>
    <sheet name="지수함수" sheetId="7" r:id="rId10"/>
    <sheet name="로그함수" sheetId="9" r:id="rId11"/>
    <sheet name="로그함수2" sheetId="10" r:id="rId12"/>
    <sheet name="통계기초" sheetId="52" r:id="rId13"/>
    <sheet name="확률통계" sheetId="51" r:id="rId14"/>
    <sheet name="머신러닝기초" sheetId="3" r:id="rId15"/>
    <sheet name="사이킷런" sheetId="53" r:id="rId16"/>
    <sheet name="MNIST데이터셋" sheetId="4" r:id="rId17"/>
    <sheet name="pivot_table" sheetId="12" r:id="rId18"/>
    <sheet name="상관_회귀" sheetId="13" r:id="rId19"/>
    <sheet name="예측모델" sheetId="15" r:id="rId20"/>
    <sheet name="모델선택방법론" sheetId="54" r:id="rId21"/>
    <sheet name="분류모델" sheetId="29" r:id="rId22"/>
    <sheet name="다항회귀_다중회귀" sheetId="28" r:id="rId23"/>
    <sheet name="미분공식" sheetId="14" r:id="rId24"/>
    <sheet name="퍼셉트론" sheetId="16" r:id="rId25"/>
    <sheet name="다층퍼셉트론" sheetId="17" r:id="rId26"/>
    <sheet name="활성화함수" sheetId="18" r:id="rId27"/>
    <sheet name="경사하강법_옵티마이저" sheetId="19" r:id="rId28"/>
    <sheet name="최적화" sheetId="66" r:id="rId29"/>
    <sheet name="모델설계_가이드" sheetId="20" r:id="rId30"/>
    <sheet name="회귀모델설계" sheetId="57" r:id="rId31"/>
    <sheet name="모델설계2" sheetId="21" r:id="rId32"/>
    <sheet name="희소행렬" sheetId="22" r:id="rId33"/>
    <sheet name="모델설계3" sheetId="23" r:id="rId34"/>
    <sheet name="모델설계4 " sheetId="25" r:id="rId35"/>
    <sheet name="모델설계5" sheetId="27" r:id="rId36"/>
    <sheet name="모델최적화" sheetId="26" r:id="rId37"/>
    <sheet name="제대로된 모델 만드는 방법" sheetId="24" r:id="rId38"/>
    <sheet name="케라스함수형API로유연성이높은모델만들기" sheetId="68" r:id="rId39"/>
    <sheet name="모델평가" sheetId="55" r:id="rId40"/>
    <sheet name="앙상블" sheetId="30" r:id="rId41"/>
    <sheet name="도커" sheetId="31" r:id="rId42"/>
    <sheet name="텐서플로우연습" sheetId="67" r:id="rId43"/>
    <sheet name="컨벌루션연산" sheetId="32" r:id="rId44"/>
    <sheet name="MNIST정규화" sheetId="34" r:id="rId45"/>
    <sheet name="CNN모델설계_MLP_MNIST" sheetId="33" r:id="rId46"/>
    <sheet name="CNN모델설계_MLP_CIFAR10" sheetId="59" r:id="rId47"/>
    <sheet name="CNN모델설계_CNN_MNIST" sheetId="35" r:id="rId48"/>
    <sheet name="CNN모델설계_CNN_MNIST (2)" sheetId="69" r:id="rId49"/>
    <sheet name="CNN모델설계_CNN_Fashin_MNIST" sheetId="36" r:id="rId50"/>
    <sheet name="CNN성별분류기" sheetId="70" r:id="rId51"/>
    <sheet name="순차데이터_텍스트_처리" sheetId="37" r:id="rId52"/>
    <sheet name="시계열데이터모델" sheetId="60" r:id="rId53"/>
    <sheet name="ARIMA1_암트랙데이터" sheetId="61" r:id="rId54"/>
    <sheet name="ARIMA1_암트랙데이터12지연까지확대" sheetId="62" r:id="rId55"/>
    <sheet name="잔차의 자기상관" sheetId="64" r:id="rId56"/>
    <sheet name="평활법" sheetId="65" r:id="rId57"/>
    <sheet name="텍스트_MLP_모델설계" sheetId="38" r:id="rId58"/>
    <sheet name="RNN" sheetId="71" r:id="rId59"/>
    <sheet name="텍스트_LSTM_모델설계" sheetId="39" r:id="rId60"/>
    <sheet name="텍스트_LSTM_모델설계_imdb" sheetId="72" r:id="rId61"/>
    <sheet name="텍스트_LSTM_CNN_모델설계 (2)" sheetId="41" r:id="rId62"/>
    <sheet name="텍스트_LSTM_CNN_모델설계 (3)" sheetId="58" r:id="rId63"/>
    <sheet name="GRU와 성능비교" sheetId="73" r:id="rId64"/>
    <sheet name="윈도우11_GPU설정" sheetId="40" r:id="rId65"/>
    <sheet name="오토인코더" sheetId="43" r:id="rId66"/>
    <sheet name="GAN" sheetId="44" r:id="rId67"/>
    <sheet name="데이터증강_전이학습" sheetId="45" r:id="rId68"/>
    <sheet name="ResNET" sheetId="75" r:id="rId69"/>
    <sheet name="컨벌루션신경망사례연구" sheetId="74" r:id="rId70"/>
    <sheet name="영상처리" sheetId="46" r:id="rId71"/>
    <sheet name="R-CNN_FAST_R-CNN_FASTER_RCNN" sheetId="76" r:id="rId72"/>
    <sheet name="성능척도" sheetId="77" r:id="rId73"/>
    <sheet name="분할성능척도" sheetId="78" r:id="rId74"/>
    <sheet name="전치컨볼루션" sheetId="79" r:id="rId75"/>
    <sheet name="FCN_UNet_DeepLap_DeepLabv3" sheetId="80" r:id="rId76"/>
    <sheet name="attention_transformer" sheetId="81" r:id="rId77"/>
    <sheet name="attention계산" sheetId="82" r:id="rId78"/>
    <sheet name="LLM_langchain_RAG" sheetId="83" r:id="rId79"/>
    <sheet name="ViT_DETR" sheetId="84" r:id="rId80"/>
  </sheets>
  <externalReferences>
    <externalReference r:id="rId81"/>
  </externalReferences>
  <definedNames>
    <definedName name="_xlchart.v1.0" hidden="1">'[1]상태(이상치 없슴)'!$B$1</definedName>
    <definedName name="_xlchart.v1.1" hidden="1">'[1]상태(이상치 없슴)'!$B$2:$B$31</definedName>
    <definedName name="_xlchart.v1.2" hidden="1">'[1]상태(이상치 있다)'!$B$1</definedName>
    <definedName name="_xlchart.v1.3" hidden="1">'[1]상태(이상치 있다)'!$B$2:$B$31</definedName>
  </definedNames>
  <calcPr calcId="191029"/>
  <pivotCaches>
    <pivotCache cacheId="0" r:id="rId82"/>
    <pivotCache cacheId="1" r:id="rId83"/>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F33" i="84" l="1"/>
  <c r="J26" i="84"/>
  <c r="F29" i="84"/>
  <c r="F35" i="84" s="1"/>
  <c r="F31" i="84" l="1"/>
  <c r="M12" i="82"/>
  <c r="M13" i="82" s="1"/>
  <c r="Q12" i="82"/>
  <c r="Q13" i="82" s="1"/>
  <c r="U12" i="82"/>
  <c r="U13" i="82" s="1"/>
  <c r="I12" i="82"/>
  <c r="I13" i="82" s="1"/>
  <c r="AI115" i="79"/>
  <c r="AJ101" i="79"/>
  <c r="AJ99" i="79"/>
  <c r="V101" i="79"/>
  <c r="Q101" i="79"/>
  <c r="T93" i="79"/>
  <c r="T92" i="79"/>
  <c r="T88" i="79"/>
  <c r="T87" i="79"/>
  <c r="W87" i="79" s="1"/>
  <c r="T74" i="79"/>
  <c r="T73" i="79"/>
  <c r="D68" i="79"/>
  <c r="E68" i="79"/>
  <c r="G62" i="79"/>
  <c r="H62" i="79"/>
  <c r="F68" i="79" s="1"/>
  <c r="H61" i="79"/>
  <c r="G61" i="79"/>
  <c r="B62" i="79"/>
  <c r="C62" i="79"/>
  <c r="C61" i="79"/>
  <c r="B61" i="79"/>
  <c r="D67" i="79" s="1"/>
  <c r="G57" i="79"/>
  <c r="H57" i="79"/>
  <c r="H56" i="79"/>
  <c r="F66" i="79" s="1"/>
  <c r="G56" i="79"/>
  <c r="B57" i="79"/>
  <c r="C57" i="79"/>
  <c r="C56" i="79"/>
  <c r="B56" i="79"/>
  <c r="D66" i="79" s="1"/>
  <c r="C48" i="79"/>
  <c r="C47" i="79"/>
  <c r="B54" i="80"/>
  <c r="W45" i="80"/>
  <c r="F2" i="79"/>
  <c r="O7" i="79"/>
  <c r="P7" i="79"/>
  <c r="H3" i="79" s="1"/>
  <c r="P6" i="79"/>
  <c r="O6" i="79"/>
  <c r="J7" i="79"/>
  <c r="K7" i="79"/>
  <c r="G3" i="79" s="1"/>
  <c r="K6" i="79"/>
  <c r="J6" i="79"/>
  <c r="O2" i="79"/>
  <c r="P2" i="79"/>
  <c r="H2" i="79" s="1"/>
  <c r="O3" i="79"/>
  <c r="P3" i="79"/>
  <c r="P1" i="79"/>
  <c r="O1" i="79"/>
  <c r="G1" i="79" s="1"/>
  <c r="J2" i="79"/>
  <c r="K2" i="79"/>
  <c r="G2" i="79" s="1"/>
  <c r="J3" i="79"/>
  <c r="K3" i="79"/>
  <c r="L3" i="79"/>
  <c r="K1" i="79"/>
  <c r="J1" i="79"/>
  <c r="F1" i="79" s="1"/>
  <c r="Q21" i="78"/>
  <c r="R13" i="78"/>
  <c r="Q8" i="78"/>
  <c r="Q7" i="78"/>
  <c r="Q20" i="78" s="1"/>
  <c r="Q4" i="78"/>
  <c r="S18" i="78" s="1"/>
  <c r="Q3" i="78"/>
  <c r="R18" i="78" s="1"/>
  <c r="Q2" i="78"/>
  <c r="Q18" i="78" s="1"/>
  <c r="E67" i="79" l="1"/>
  <c r="W73" i="79"/>
  <c r="T17" i="78"/>
  <c r="R20" i="78"/>
  <c r="E66" i="79"/>
  <c r="F67" i="79"/>
  <c r="I14" i="82"/>
  <c r="Q14" i="82"/>
  <c r="U14" i="82"/>
  <c r="M14" i="82"/>
  <c r="W92" i="79"/>
  <c r="R7" i="78"/>
  <c r="R12" i="77"/>
  <c r="R11" i="77"/>
  <c r="S11" i="77" s="1"/>
  <c r="O20" i="82" l="1"/>
  <c r="N20" i="82"/>
  <c r="P20" i="82"/>
  <c r="X98" i="45" l="1"/>
  <c r="R100" i="45"/>
  <c r="V101" i="45" s="1"/>
  <c r="AI46" i="45"/>
  <c r="AC46" i="45"/>
  <c r="AF46" i="45" s="1"/>
  <c r="P46" i="45"/>
  <c r="S28" i="45"/>
  <c r="K45" i="45" s="1"/>
  <c r="W50" i="45" l="1"/>
  <c r="F63" i="72"/>
  <c r="S38" i="72"/>
  <c r="K56" i="72"/>
  <c r="K63" i="72" s="1"/>
  <c r="K52" i="72"/>
  <c r="K60" i="72"/>
  <c r="F60" i="72"/>
  <c r="F56" i="72"/>
  <c r="F52" i="72"/>
  <c r="M34" i="72"/>
  <c r="G66" i="72" l="1"/>
  <c r="X45" i="71"/>
  <c r="U45" i="71"/>
  <c r="R45" i="71"/>
  <c r="O43" i="71"/>
  <c r="N56" i="71"/>
  <c r="N53" i="71"/>
  <c r="J2" i="70"/>
  <c r="K3" i="70" s="1"/>
  <c r="AD21" i="69"/>
  <c r="AC27" i="69"/>
  <c r="AC29" i="69" s="1"/>
  <c r="U5" i="69"/>
  <c r="AK28" i="69"/>
  <c r="AE28" i="69"/>
  <c r="AG30" i="69" s="1"/>
  <c r="P24" i="68"/>
  <c r="M24" i="68"/>
  <c r="H30" i="68" s="1"/>
  <c r="I24" i="68"/>
  <c r="F24" i="68"/>
  <c r="T48" i="71" l="1"/>
  <c r="AC32" i="69"/>
  <c r="B16" i="18"/>
  <c r="B15" i="18"/>
  <c r="B14" i="18"/>
  <c r="B13" i="18"/>
  <c r="B12" i="18"/>
  <c r="B11" i="18"/>
  <c r="B10" i="18"/>
  <c r="B9" i="18"/>
  <c r="B8" i="18"/>
  <c r="B7" i="18"/>
  <c r="B6" i="18"/>
  <c r="B5" i="18"/>
  <c r="B4" i="18"/>
  <c r="C127" i="18" l="1"/>
  <c r="D127" i="18"/>
  <c r="C128" i="18"/>
  <c r="D128" i="18"/>
  <c r="C129" i="18"/>
  <c r="D129" i="18"/>
  <c r="C130" i="18"/>
  <c r="D130" i="18"/>
  <c r="C131" i="18"/>
  <c r="D131" i="18"/>
  <c r="C132" i="18"/>
  <c r="D132" i="18"/>
  <c r="C133" i="18"/>
  <c r="D133" i="18"/>
  <c r="C134" i="18"/>
  <c r="D134" i="18"/>
  <c r="C135" i="18"/>
  <c r="D135" i="18"/>
  <c r="C136" i="18"/>
  <c r="D136" i="18"/>
  <c r="C137" i="18"/>
  <c r="D137" i="18"/>
  <c r="C138" i="18"/>
  <c r="D138" i="18"/>
  <c r="C139" i="18"/>
  <c r="D139" i="18"/>
  <c r="C140" i="18"/>
  <c r="D140" i="18"/>
  <c r="C141" i="18"/>
  <c r="D141" i="18"/>
  <c r="C142" i="18"/>
  <c r="D142" i="18"/>
  <c r="C143" i="18"/>
  <c r="D143" i="18"/>
  <c r="C144" i="18"/>
  <c r="D144" i="18"/>
  <c r="C145" i="18"/>
  <c r="D145" i="18"/>
  <c r="C146" i="18"/>
  <c r="D146" i="18"/>
  <c r="C126" i="18"/>
  <c r="D126" i="18"/>
  <c r="G91" i="2"/>
  <c r="L556" i="60" l="1"/>
  <c r="L560" i="60" s="1"/>
  <c r="G43" i="65"/>
  <c r="H43" i="65" s="1"/>
  <c r="C43" i="65"/>
  <c r="D43" i="65" s="1"/>
  <c r="E43" i="65" s="1"/>
  <c r="C30" i="65"/>
  <c r="D31" i="65" s="1"/>
  <c r="C31" i="65"/>
  <c r="D32" i="65" s="1"/>
  <c r="C32" i="65"/>
  <c r="C33" i="65"/>
  <c r="D34" i="65" s="1"/>
  <c r="C34" i="65"/>
  <c r="D35" i="65" s="1"/>
  <c r="C35" i="65"/>
  <c r="D36" i="65" s="1"/>
  <c r="C36" i="65"/>
  <c r="C29" i="65"/>
  <c r="D30" i="65" s="1"/>
  <c r="J14" i="65"/>
  <c r="K14" i="65" s="1"/>
  <c r="H13" i="65"/>
  <c r="J13" i="65" s="1"/>
  <c r="K13" i="65" s="1"/>
  <c r="H14" i="65"/>
  <c r="H15" i="65"/>
  <c r="J15" i="65" s="1"/>
  <c r="K15" i="65" s="1"/>
  <c r="H16" i="65"/>
  <c r="J16" i="65" s="1"/>
  <c r="K16" i="65" s="1"/>
  <c r="H12" i="65"/>
  <c r="J12" i="65" s="1"/>
  <c r="C11" i="65"/>
  <c r="D11" i="65" s="1"/>
  <c r="G11" i="65" s="1"/>
  <c r="C12" i="65"/>
  <c r="D12" i="65" s="1"/>
  <c r="G12" i="65" s="1"/>
  <c r="C13" i="65"/>
  <c r="D13" i="65" s="1"/>
  <c r="G13" i="65" s="1"/>
  <c r="C14" i="65"/>
  <c r="D14" i="65" s="1"/>
  <c r="G14" i="65" s="1"/>
  <c r="C15" i="65"/>
  <c r="D15" i="65" s="1"/>
  <c r="G15" i="65" s="1"/>
  <c r="C16" i="65"/>
  <c r="D16" i="65" s="1"/>
  <c r="G16" i="65" s="1"/>
  <c r="C10" i="65"/>
  <c r="D10" i="65" s="1"/>
  <c r="T516" i="60"/>
  <c r="W517" i="60" s="1"/>
  <c r="F43" i="65" l="1"/>
  <c r="I43" i="65"/>
  <c r="J43" i="65"/>
  <c r="D18" i="65"/>
  <c r="D20" i="65" s="1"/>
  <c r="G10" i="65"/>
  <c r="G18" i="65" s="1"/>
  <c r="D21" i="65" s="1"/>
  <c r="K12" i="65"/>
  <c r="K18" i="65" s="1"/>
  <c r="J21" i="65" s="1"/>
  <c r="J18" i="65"/>
  <c r="J20" i="65" s="1"/>
  <c r="D33" i="65"/>
  <c r="G44" i="65"/>
  <c r="C44" i="65"/>
  <c r="Q418" i="60"/>
  <c r="U419" i="60" s="1"/>
  <c r="O414" i="60"/>
  <c r="M414" i="60"/>
  <c r="Q414" i="60" s="1"/>
  <c r="C3" i="64"/>
  <c r="D141" i="64"/>
  <c r="G131" i="64"/>
  <c r="O124" i="64"/>
  <c r="N124" i="64"/>
  <c r="M124" i="64"/>
  <c r="L124" i="64"/>
  <c r="K124" i="64"/>
  <c r="J124" i="64"/>
  <c r="I124" i="64"/>
  <c r="H124" i="64"/>
  <c r="G124" i="64"/>
  <c r="F124" i="64"/>
  <c r="E124" i="64"/>
  <c r="D124" i="64"/>
  <c r="C124" i="64"/>
  <c r="O123" i="64"/>
  <c r="N123" i="64"/>
  <c r="M123" i="64"/>
  <c r="L123" i="64"/>
  <c r="K123" i="64"/>
  <c r="J123" i="64"/>
  <c r="I123" i="64"/>
  <c r="H123" i="64"/>
  <c r="G123" i="64"/>
  <c r="F123" i="64"/>
  <c r="E123" i="64"/>
  <c r="D123" i="64"/>
  <c r="C123" i="64"/>
  <c r="O122" i="64"/>
  <c r="N122" i="64"/>
  <c r="M122" i="64"/>
  <c r="L122" i="64"/>
  <c r="K122" i="64"/>
  <c r="J122" i="64"/>
  <c r="I122" i="64"/>
  <c r="H122" i="64"/>
  <c r="G122" i="64"/>
  <c r="F122" i="64"/>
  <c r="E122" i="64"/>
  <c r="D122" i="64"/>
  <c r="C122" i="64"/>
  <c r="O121" i="64"/>
  <c r="N121" i="64"/>
  <c r="M121" i="64"/>
  <c r="L121" i="64"/>
  <c r="K121" i="64"/>
  <c r="J121" i="64"/>
  <c r="I121" i="64"/>
  <c r="H121" i="64"/>
  <c r="G121" i="64"/>
  <c r="F121" i="64"/>
  <c r="E121" i="64"/>
  <c r="D121" i="64"/>
  <c r="C121" i="64"/>
  <c r="O120" i="64"/>
  <c r="N120" i="64"/>
  <c r="M120" i="64"/>
  <c r="L120" i="64"/>
  <c r="K120" i="64"/>
  <c r="J120" i="64"/>
  <c r="I120" i="64"/>
  <c r="H120" i="64"/>
  <c r="G120" i="64"/>
  <c r="F120" i="64"/>
  <c r="E120" i="64"/>
  <c r="D120" i="64"/>
  <c r="C120" i="64"/>
  <c r="O119" i="64"/>
  <c r="N119" i="64"/>
  <c r="M119" i="64"/>
  <c r="L119" i="64"/>
  <c r="K119" i="64"/>
  <c r="J119" i="64"/>
  <c r="I119" i="64"/>
  <c r="H119" i="64"/>
  <c r="G119" i="64"/>
  <c r="F119" i="64"/>
  <c r="E119" i="64"/>
  <c r="D119" i="64"/>
  <c r="C119" i="64"/>
  <c r="O118" i="64"/>
  <c r="N118" i="64"/>
  <c r="M118" i="64"/>
  <c r="L118" i="64"/>
  <c r="K118" i="64"/>
  <c r="J118" i="64"/>
  <c r="I118" i="64"/>
  <c r="H118" i="64"/>
  <c r="G118" i="64"/>
  <c r="F118" i="64"/>
  <c r="E118" i="64"/>
  <c r="D118" i="64"/>
  <c r="C118" i="64"/>
  <c r="O117" i="64"/>
  <c r="N117" i="64"/>
  <c r="M117" i="64"/>
  <c r="L117" i="64"/>
  <c r="K117" i="64"/>
  <c r="J117" i="64"/>
  <c r="I117" i="64"/>
  <c r="H117" i="64"/>
  <c r="G117" i="64"/>
  <c r="F117" i="64"/>
  <c r="E117" i="64"/>
  <c r="D117" i="64"/>
  <c r="C117" i="64"/>
  <c r="O116" i="64"/>
  <c r="N116" i="64"/>
  <c r="M116" i="64"/>
  <c r="L116" i="64"/>
  <c r="K116" i="64"/>
  <c r="J116" i="64"/>
  <c r="I116" i="64"/>
  <c r="H116" i="64"/>
  <c r="G116" i="64"/>
  <c r="F116" i="64"/>
  <c r="E116" i="64"/>
  <c r="D116" i="64"/>
  <c r="C116" i="64"/>
  <c r="O115" i="64"/>
  <c r="N115" i="64"/>
  <c r="M115" i="64"/>
  <c r="L115" i="64"/>
  <c r="K115" i="64"/>
  <c r="J115" i="64"/>
  <c r="I115" i="64"/>
  <c r="H115" i="64"/>
  <c r="G115" i="64"/>
  <c r="F115" i="64"/>
  <c r="E115" i="64"/>
  <c r="D115" i="64"/>
  <c r="C115" i="64"/>
  <c r="O114" i="64"/>
  <c r="N114" i="64"/>
  <c r="M114" i="64"/>
  <c r="L114" i="64"/>
  <c r="K114" i="64"/>
  <c r="J114" i="64"/>
  <c r="I114" i="64"/>
  <c r="H114" i="64"/>
  <c r="G114" i="64"/>
  <c r="F114" i="64"/>
  <c r="E114" i="64"/>
  <c r="D114" i="64"/>
  <c r="C114" i="64"/>
  <c r="O113" i="64"/>
  <c r="N113" i="64"/>
  <c r="M113" i="64"/>
  <c r="L113" i="64"/>
  <c r="K113" i="64"/>
  <c r="J113" i="64"/>
  <c r="I113" i="64"/>
  <c r="H113" i="64"/>
  <c r="G113" i="64"/>
  <c r="F113" i="64"/>
  <c r="E113" i="64"/>
  <c r="D113" i="64"/>
  <c r="C113" i="64"/>
  <c r="O112" i="64"/>
  <c r="N112" i="64"/>
  <c r="M112" i="64"/>
  <c r="L112" i="64"/>
  <c r="K112" i="64"/>
  <c r="J112" i="64"/>
  <c r="I112" i="64"/>
  <c r="H112" i="64"/>
  <c r="G112" i="64"/>
  <c r="F112" i="64"/>
  <c r="E112" i="64"/>
  <c r="D112" i="64"/>
  <c r="C112" i="64"/>
  <c r="O111" i="64"/>
  <c r="N111" i="64"/>
  <c r="M111" i="64"/>
  <c r="L111" i="64"/>
  <c r="K111" i="64"/>
  <c r="J111" i="64"/>
  <c r="I111" i="64"/>
  <c r="H111" i="64"/>
  <c r="G111" i="64"/>
  <c r="F111" i="64"/>
  <c r="E111" i="64"/>
  <c r="D111" i="64"/>
  <c r="C111" i="64"/>
  <c r="O110" i="64"/>
  <c r="N110" i="64"/>
  <c r="M110" i="64"/>
  <c r="L110" i="64"/>
  <c r="K110" i="64"/>
  <c r="J110" i="64"/>
  <c r="I110" i="64"/>
  <c r="H110" i="64"/>
  <c r="G110" i="64"/>
  <c r="F110" i="64"/>
  <c r="E110" i="64"/>
  <c r="D110" i="64"/>
  <c r="C110" i="64"/>
  <c r="O109" i="64"/>
  <c r="N109" i="64"/>
  <c r="M109" i="64"/>
  <c r="L109" i="64"/>
  <c r="K109" i="64"/>
  <c r="J109" i="64"/>
  <c r="I109" i="64"/>
  <c r="H109" i="64"/>
  <c r="G109" i="64"/>
  <c r="F109" i="64"/>
  <c r="E109" i="64"/>
  <c r="D109" i="64"/>
  <c r="C109" i="64"/>
  <c r="O108" i="64"/>
  <c r="N108" i="64"/>
  <c r="M108" i="64"/>
  <c r="L108" i="64"/>
  <c r="K108" i="64"/>
  <c r="J108" i="64"/>
  <c r="I108" i="64"/>
  <c r="H108" i="64"/>
  <c r="G108" i="64"/>
  <c r="F108" i="64"/>
  <c r="E108" i="64"/>
  <c r="D108" i="64"/>
  <c r="C108" i="64"/>
  <c r="O107" i="64"/>
  <c r="N107" i="64"/>
  <c r="M107" i="64"/>
  <c r="L107" i="64"/>
  <c r="K107" i="64"/>
  <c r="J107" i="64"/>
  <c r="I107" i="64"/>
  <c r="H107" i="64"/>
  <c r="G107" i="64"/>
  <c r="F107" i="64"/>
  <c r="E107" i="64"/>
  <c r="D107" i="64"/>
  <c r="C107" i="64"/>
  <c r="O106" i="64"/>
  <c r="N106" i="64"/>
  <c r="M106" i="64"/>
  <c r="L106" i="64"/>
  <c r="K106" i="64"/>
  <c r="J106" i="64"/>
  <c r="I106" i="64"/>
  <c r="H106" i="64"/>
  <c r="G106" i="64"/>
  <c r="F106" i="64"/>
  <c r="E106" i="64"/>
  <c r="D106" i="64"/>
  <c r="C106" i="64"/>
  <c r="O105" i="64"/>
  <c r="N105" i="64"/>
  <c r="M105" i="64"/>
  <c r="L105" i="64"/>
  <c r="K105" i="64"/>
  <c r="J105" i="64"/>
  <c r="I105" i="64"/>
  <c r="H105" i="64"/>
  <c r="G105" i="64"/>
  <c r="F105" i="64"/>
  <c r="E105" i="64"/>
  <c r="D105" i="64"/>
  <c r="C105" i="64"/>
  <c r="O104" i="64"/>
  <c r="N104" i="64"/>
  <c r="M104" i="64"/>
  <c r="L104" i="64"/>
  <c r="K104" i="64"/>
  <c r="J104" i="64"/>
  <c r="I104" i="64"/>
  <c r="H104" i="64"/>
  <c r="G104" i="64"/>
  <c r="F104" i="64"/>
  <c r="E104" i="64"/>
  <c r="D104" i="64"/>
  <c r="C104" i="64"/>
  <c r="O103" i="64"/>
  <c r="N103" i="64"/>
  <c r="M103" i="64"/>
  <c r="L103" i="64"/>
  <c r="K103" i="64"/>
  <c r="J103" i="64"/>
  <c r="I103" i="64"/>
  <c r="H103" i="64"/>
  <c r="G103" i="64"/>
  <c r="F103" i="64"/>
  <c r="E103" i="64"/>
  <c r="D103" i="64"/>
  <c r="C103" i="64"/>
  <c r="O102" i="64"/>
  <c r="N102" i="64"/>
  <c r="M102" i="64"/>
  <c r="L102" i="64"/>
  <c r="K102" i="64"/>
  <c r="J102" i="64"/>
  <c r="I102" i="64"/>
  <c r="H102" i="64"/>
  <c r="G102" i="64"/>
  <c r="F102" i="64"/>
  <c r="E102" i="64"/>
  <c r="D102" i="64"/>
  <c r="C102" i="64"/>
  <c r="O101" i="64"/>
  <c r="N101" i="64"/>
  <c r="M101" i="64"/>
  <c r="L101" i="64"/>
  <c r="K101" i="64"/>
  <c r="J101" i="64"/>
  <c r="I101" i="64"/>
  <c r="H101" i="64"/>
  <c r="G101" i="64"/>
  <c r="F101" i="64"/>
  <c r="E101" i="64"/>
  <c r="D101" i="64"/>
  <c r="C101" i="64"/>
  <c r="O100" i="64"/>
  <c r="N100" i="64"/>
  <c r="M100" i="64"/>
  <c r="L100" i="64"/>
  <c r="K100" i="64"/>
  <c r="J100" i="64"/>
  <c r="I100" i="64"/>
  <c r="H100" i="64"/>
  <c r="G100" i="64"/>
  <c r="F100" i="64"/>
  <c r="E100" i="64"/>
  <c r="D100" i="64"/>
  <c r="C100" i="64"/>
  <c r="O99" i="64"/>
  <c r="N99" i="64"/>
  <c r="M99" i="64"/>
  <c r="L99" i="64"/>
  <c r="K99" i="64"/>
  <c r="J99" i="64"/>
  <c r="I99" i="64"/>
  <c r="H99" i="64"/>
  <c r="G99" i="64"/>
  <c r="F99" i="64"/>
  <c r="E99" i="64"/>
  <c r="D99" i="64"/>
  <c r="C99" i="64"/>
  <c r="O98" i="64"/>
  <c r="N98" i="64"/>
  <c r="M98" i="64"/>
  <c r="L98" i="64"/>
  <c r="K98" i="64"/>
  <c r="J98" i="64"/>
  <c r="I98" i="64"/>
  <c r="H98" i="64"/>
  <c r="G98" i="64"/>
  <c r="F98" i="64"/>
  <c r="E98" i="64"/>
  <c r="D98" i="64"/>
  <c r="C98" i="64"/>
  <c r="O97" i="64"/>
  <c r="N97" i="64"/>
  <c r="M97" i="64"/>
  <c r="L97" i="64"/>
  <c r="K97" i="64"/>
  <c r="J97" i="64"/>
  <c r="I97" i="64"/>
  <c r="H97" i="64"/>
  <c r="G97" i="64"/>
  <c r="F97" i="64"/>
  <c r="E97" i="64"/>
  <c r="D97" i="64"/>
  <c r="C97" i="64"/>
  <c r="O96" i="64"/>
  <c r="N96" i="64"/>
  <c r="M96" i="64"/>
  <c r="L96" i="64"/>
  <c r="K96" i="64"/>
  <c r="J96" i="64"/>
  <c r="I96" i="64"/>
  <c r="H96" i="64"/>
  <c r="G96" i="64"/>
  <c r="F96" i="64"/>
  <c r="E96" i="64"/>
  <c r="D96" i="64"/>
  <c r="C96" i="64"/>
  <c r="O95" i="64"/>
  <c r="N95" i="64"/>
  <c r="M95" i="64"/>
  <c r="L95" i="64"/>
  <c r="K95" i="64"/>
  <c r="J95" i="64"/>
  <c r="I95" i="64"/>
  <c r="H95" i="64"/>
  <c r="G95" i="64"/>
  <c r="F95" i="64"/>
  <c r="E95" i="64"/>
  <c r="D95" i="64"/>
  <c r="C95" i="64"/>
  <c r="O94" i="64"/>
  <c r="N94" i="64"/>
  <c r="M94" i="64"/>
  <c r="L94" i="64"/>
  <c r="K94" i="64"/>
  <c r="J94" i="64"/>
  <c r="I94" i="64"/>
  <c r="H94" i="64"/>
  <c r="G94" i="64"/>
  <c r="F94" i="64"/>
  <c r="E94" i="64"/>
  <c r="D94" i="64"/>
  <c r="C94" i="64"/>
  <c r="O93" i="64"/>
  <c r="N93" i="64"/>
  <c r="M93" i="64"/>
  <c r="L93" i="64"/>
  <c r="K93" i="64"/>
  <c r="J93" i="64"/>
  <c r="I93" i="64"/>
  <c r="H93" i="64"/>
  <c r="G93" i="64"/>
  <c r="F93" i="64"/>
  <c r="E93" i="64"/>
  <c r="D93" i="64"/>
  <c r="C93" i="64"/>
  <c r="O92" i="64"/>
  <c r="N92" i="64"/>
  <c r="M92" i="64"/>
  <c r="L92" i="64"/>
  <c r="K92" i="64"/>
  <c r="J92" i="64"/>
  <c r="I92" i="64"/>
  <c r="H92" i="64"/>
  <c r="G92" i="64"/>
  <c r="F92" i="64"/>
  <c r="E92" i="64"/>
  <c r="D92" i="64"/>
  <c r="C92" i="64"/>
  <c r="O91" i="64"/>
  <c r="N91" i="64"/>
  <c r="M91" i="64"/>
  <c r="L91" i="64"/>
  <c r="K91" i="64"/>
  <c r="J91" i="64"/>
  <c r="I91" i="64"/>
  <c r="H91" i="64"/>
  <c r="G91" i="64"/>
  <c r="F91" i="64"/>
  <c r="E91" i="64"/>
  <c r="D91" i="64"/>
  <c r="C91" i="64"/>
  <c r="O90" i="64"/>
  <c r="N90" i="64"/>
  <c r="M90" i="64"/>
  <c r="L90" i="64"/>
  <c r="K90" i="64"/>
  <c r="J90" i="64"/>
  <c r="I90" i="64"/>
  <c r="H90" i="64"/>
  <c r="G90" i="64"/>
  <c r="F90" i="64"/>
  <c r="E90" i="64"/>
  <c r="D90" i="64"/>
  <c r="C90" i="64"/>
  <c r="O89" i="64"/>
  <c r="N89" i="64"/>
  <c r="M89" i="64"/>
  <c r="L89" i="64"/>
  <c r="K89" i="64"/>
  <c r="J89" i="64"/>
  <c r="I89" i="64"/>
  <c r="H89" i="64"/>
  <c r="G89" i="64"/>
  <c r="F89" i="64"/>
  <c r="E89" i="64"/>
  <c r="D89" i="64"/>
  <c r="C89" i="64"/>
  <c r="O88" i="64"/>
  <c r="N88" i="64"/>
  <c r="M88" i="64"/>
  <c r="L88" i="64"/>
  <c r="K88" i="64"/>
  <c r="J88" i="64"/>
  <c r="I88" i="64"/>
  <c r="H88" i="64"/>
  <c r="G88" i="64"/>
  <c r="F88" i="64"/>
  <c r="E88" i="64"/>
  <c r="D88" i="64"/>
  <c r="C88" i="64"/>
  <c r="O87" i="64"/>
  <c r="N87" i="64"/>
  <c r="M87" i="64"/>
  <c r="L87" i="64"/>
  <c r="K87" i="64"/>
  <c r="J87" i="64"/>
  <c r="I87" i="64"/>
  <c r="H87" i="64"/>
  <c r="G87" i="64"/>
  <c r="F87" i="64"/>
  <c r="E87" i="64"/>
  <c r="D87" i="64"/>
  <c r="C87" i="64"/>
  <c r="O86" i="64"/>
  <c r="N86" i="64"/>
  <c r="M86" i="64"/>
  <c r="L86" i="64"/>
  <c r="K86" i="64"/>
  <c r="J86" i="64"/>
  <c r="I86" i="64"/>
  <c r="H86" i="64"/>
  <c r="G86" i="64"/>
  <c r="F86" i="64"/>
  <c r="E86" i="64"/>
  <c r="D86" i="64"/>
  <c r="C86" i="64"/>
  <c r="O85" i="64"/>
  <c r="N85" i="64"/>
  <c r="M85" i="64"/>
  <c r="L85" i="64"/>
  <c r="K85" i="64"/>
  <c r="J85" i="64"/>
  <c r="I85" i="64"/>
  <c r="H85" i="64"/>
  <c r="G85" i="64"/>
  <c r="F85" i="64"/>
  <c r="E85" i="64"/>
  <c r="D85" i="64"/>
  <c r="C85" i="64"/>
  <c r="O84" i="64"/>
  <c r="N84" i="64"/>
  <c r="M84" i="64"/>
  <c r="L84" i="64"/>
  <c r="K84" i="64"/>
  <c r="J84" i="64"/>
  <c r="I84" i="64"/>
  <c r="H84" i="64"/>
  <c r="G84" i="64"/>
  <c r="F84" i="64"/>
  <c r="E84" i="64"/>
  <c r="D84" i="64"/>
  <c r="C84" i="64"/>
  <c r="O83" i="64"/>
  <c r="N83" i="64"/>
  <c r="M83" i="64"/>
  <c r="L83" i="64"/>
  <c r="K83" i="64"/>
  <c r="J83" i="64"/>
  <c r="I83" i="64"/>
  <c r="H83" i="64"/>
  <c r="G83" i="64"/>
  <c r="F83" i="64"/>
  <c r="E83" i="64"/>
  <c r="D83" i="64"/>
  <c r="C83" i="64"/>
  <c r="O82" i="64"/>
  <c r="N82" i="64"/>
  <c r="M82" i="64"/>
  <c r="L82" i="64"/>
  <c r="K82" i="64"/>
  <c r="J82" i="64"/>
  <c r="I82" i="64"/>
  <c r="H82" i="64"/>
  <c r="G82" i="64"/>
  <c r="F82" i="64"/>
  <c r="E82" i="64"/>
  <c r="D82" i="64"/>
  <c r="C82" i="64"/>
  <c r="O81" i="64"/>
  <c r="N81" i="64"/>
  <c r="M81" i="64"/>
  <c r="L81" i="64"/>
  <c r="K81" i="64"/>
  <c r="J81" i="64"/>
  <c r="I81" i="64"/>
  <c r="H81" i="64"/>
  <c r="G81" i="64"/>
  <c r="F81" i="64"/>
  <c r="E81" i="64"/>
  <c r="D81" i="64"/>
  <c r="C81" i="64"/>
  <c r="O80" i="64"/>
  <c r="N80" i="64"/>
  <c r="M80" i="64"/>
  <c r="L80" i="64"/>
  <c r="K80" i="64"/>
  <c r="J80" i="64"/>
  <c r="I80" i="64"/>
  <c r="H80" i="64"/>
  <c r="G80" i="64"/>
  <c r="F80" i="64"/>
  <c r="E80" i="64"/>
  <c r="D80" i="64"/>
  <c r="C80" i="64"/>
  <c r="O79" i="64"/>
  <c r="N79" i="64"/>
  <c r="M79" i="64"/>
  <c r="L79" i="64"/>
  <c r="K79" i="64"/>
  <c r="J79" i="64"/>
  <c r="I79" i="64"/>
  <c r="H79" i="64"/>
  <c r="G79" i="64"/>
  <c r="F79" i="64"/>
  <c r="E79" i="64"/>
  <c r="D79" i="64"/>
  <c r="C79" i="64"/>
  <c r="O78" i="64"/>
  <c r="N78" i="64"/>
  <c r="M78" i="64"/>
  <c r="L78" i="64"/>
  <c r="K78" i="64"/>
  <c r="J78" i="64"/>
  <c r="I78" i="64"/>
  <c r="H78" i="64"/>
  <c r="G78" i="64"/>
  <c r="F78" i="64"/>
  <c r="E78" i="64"/>
  <c r="D78" i="64"/>
  <c r="C78" i="64"/>
  <c r="O77" i="64"/>
  <c r="N77" i="64"/>
  <c r="M77" i="64"/>
  <c r="L77" i="64"/>
  <c r="K77" i="64"/>
  <c r="J77" i="64"/>
  <c r="I77" i="64"/>
  <c r="H77" i="64"/>
  <c r="G77" i="64"/>
  <c r="F77" i="64"/>
  <c r="E77" i="64"/>
  <c r="D77" i="64"/>
  <c r="C77" i="64"/>
  <c r="O76" i="64"/>
  <c r="N76" i="64"/>
  <c r="M76" i="64"/>
  <c r="L76" i="64"/>
  <c r="K76" i="64"/>
  <c r="J76" i="64"/>
  <c r="I76" i="64"/>
  <c r="H76" i="64"/>
  <c r="G76" i="64"/>
  <c r="F76" i="64"/>
  <c r="E76" i="64"/>
  <c r="D76" i="64"/>
  <c r="C76" i="64"/>
  <c r="O75" i="64"/>
  <c r="N75" i="64"/>
  <c r="M75" i="64"/>
  <c r="L75" i="64"/>
  <c r="K75" i="64"/>
  <c r="J75" i="64"/>
  <c r="I75" i="64"/>
  <c r="H75" i="64"/>
  <c r="G75" i="64"/>
  <c r="F75" i="64"/>
  <c r="E75" i="64"/>
  <c r="D75" i="64"/>
  <c r="C75" i="64"/>
  <c r="O74" i="64"/>
  <c r="N74" i="64"/>
  <c r="M74" i="64"/>
  <c r="L74" i="64"/>
  <c r="K74" i="64"/>
  <c r="J74" i="64"/>
  <c r="I74" i="64"/>
  <c r="H74" i="64"/>
  <c r="G74" i="64"/>
  <c r="F74" i="64"/>
  <c r="E74" i="64"/>
  <c r="D74" i="64"/>
  <c r="C74" i="64"/>
  <c r="O73" i="64"/>
  <c r="N73" i="64"/>
  <c r="M73" i="64"/>
  <c r="L73" i="64"/>
  <c r="K73" i="64"/>
  <c r="J73" i="64"/>
  <c r="I73" i="64"/>
  <c r="H73" i="64"/>
  <c r="G73" i="64"/>
  <c r="F73" i="64"/>
  <c r="E73" i="64"/>
  <c r="D73" i="64"/>
  <c r="C73" i="64"/>
  <c r="O72" i="64"/>
  <c r="N72" i="64"/>
  <c r="M72" i="64"/>
  <c r="L72" i="64"/>
  <c r="K72" i="64"/>
  <c r="J72" i="64"/>
  <c r="I72" i="64"/>
  <c r="H72" i="64"/>
  <c r="G72" i="64"/>
  <c r="F72" i="64"/>
  <c r="E72" i="64"/>
  <c r="D72" i="64"/>
  <c r="C72" i="64"/>
  <c r="O71" i="64"/>
  <c r="N71" i="64"/>
  <c r="M71" i="64"/>
  <c r="L71" i="64"/>
  <c r="K71" i="64"/>
  <c r="J71" i="64"/>
  <c r="I71" i="64"/>
  <c r="H71" i="64"/>
  <c r="G71" i="64"/>
  <c r="F71" i="64"/>
  <c r="E71" i="64"/>
  <c r="D71" i="64"/>
  <c r="C71" i="64"/>
  <c r="O70" i="64"/>
  <c r="N70" i="64"/>
  <c r="M70" i="64"/>
  <c r="L70" i="64"/>
  <c r="K70" i="64"/>
  <c r="J70" i="64"/>
  <c r="I70" i="64"/>
  <c r="H70" i="64"/>
  <c r="G70" i="64"/>
  <c r="F70" i="64"/>
  <c r="E70" i="64"/>
  <c r="D70" i="64"/>
  <c r="C70" i="64"/>
  <c r="O69" i="64"/>
  <c r="N69" i="64"/>
  <c r="M69" i="64"/>
  <c r="L69" i="64"/>
  <c r="K69" i="64"/>
  <c r="J69" i="64"/>
  <c r="I69" i="64"/>
  <c r="H69" i="64"/>
  <c r="G69" i="64"/>
  <c r="F69" i="64"/>
  <c r="E69" i="64"/>
  <c r="D69" i="64"/>
  <c r="C69" i="64"/>
  <c r="O68" i="64"/>
  <c r="N68" i="64"/>
  <c r="M68" i="64"/>
  <c r="L68" i="64"/>
  <c r="K68" i="64"/>
  <c r="J68" i="64"/>
  <c r="I68" i="64"/>
  <c r="H68" i="64"/>
  <c r="G68" i="64"/>
  <c r="F68" i="64"/>
  <c r="E68" i="64"/>
  <c r="D68" i="64"/>
  <c r="C68" i="64"/>
  <c r="O67" i="64"/>
  <c r="N67" i="64"/>
  <c r="M67" i="64"/>
  <c r="L67" i="64"/>
  <c r="K67" i="64"/>
  <c r="J67" i="64"/>
  <c r="I67" i="64"/>
  <c r="H67" i="64"/>
  <c r="G67" i="64"/>
  <c r="F67" i="64"/>
  <c r="E67" i="64"/>
  <c r="D67" i="64"/>
  <c r="C67" i="64"/>
  <c r="O66" i="64"/>
  <c r="N66" i="64"/>
  <c r="M66" i="64"/>
  <c r="L66" i="64"/>
  <c r="K66" i="64"/>
  <c r="J66" i="64"/>
  <c r="I66" i="64"/>
  <c r="H66" i="64"/>
  <c r="G66" i="64"/>
  <c r="F66" i="64"/>
  <c r="E66" i="64"/>
  <c r="D66" i="64"/>
  <c r="C66" i="64"/>
  <c r="O65" i="64"/>
  <c r="N65" i="64"/>
  <c r="M65" i="64"/>
  <c r="L65" i="64"/>
  <c r="K65" i="64"/>
  <c r="J65" i="64"/>
  <c r="I65" i="64"/>
  <c r="H65" i="64"/>
  <c r="G65" i="64"/>
  <c r="F65" i="64"/>
  <c r="E65" i="64"/>
  <c r="D65" i="64"/>
  <c r="C65" i="64"/>
  <c r="O64" i="64"/>
  <c r="N64" i="64"/>
  <c r="M64" i="64"/>
  <c r="L64" i="64"/>
  <c r="K64" i="64"/>
  <c r="J64" i="64"/>
  <c r="I64" i="64"/>
  <c r="H64" i="64"/>
  <c r="G64" i="64"/>
  <c r="F64" i="64"/>
  <c r="E64" i="64"/>
  <c r="D64" i="64"/>
  <c r="C64" i="64"/>
  <c r="O63" i="64"/>
  <c r="N63" i="64"/>
  <c r="M63" i="64"/>
  <c r="L63" i="64"/>
  <c r="K63" i="64"/>
  <c r="J63" i="64"/>
  <c r="I63" i="64"/>
  <c r="H63" i="64"/>
  <c r="G63" i="64"/>
  <c r="F63" i="64"/>
  <c r="E63" i="64"/>
  <c r="D63" i="64"/>
  <c r="C63" i="64"/>
  <c r="O62" i="64"/>
  <c r="N62" i="64"/>
  <c r="M62" i="64"/>
  <c r="L62" i="64"/>
  <c r="K62" i="64"/>
  <c r="J62" i="64"/>
  <c r="I62" i="64"/>
  <c r="H62" i="64"/>
  <c r="G62" i="64"/>
  <c r="F62" i="64"/>
  <c r="E62" i="64"/>
  <c r="D62" i="64"/>
  <c r="C62" i="64"/>
  <c r="O61" i="64"/>
  <c r="N61" i="64"/>
  <c r="M61" i="64"/>
  <c r="L61" i="64"/>
  <c r="K61" i="64"/>
  <c r="J61" i="64"/>
  <c r="I61" i="64"/>
  <c r="H61" i="64"/>
  <c r="G61" i="64"/>
  <c r="F61" i="64"/>
  <c r="E61" i="64"/>
  <c r="D61" i="64"/>
  <c r="C61" i="64"/>
  <c r="O60" i="64"/>
  <c r="N60" i="64"/>
  <c r="M60" i="64"/>
  <c r="L60" i="64"/>
  <c r="K60" i="64"/>
  <c r="J60" i="64"/>
  <c r="I60" i="64"/>
  <c r="H60" i="64"/>
  <c r="G60" i="64"/>
  <c r="F60" i="64"/>
  <c r="E60" i="64"/>
  <c r="D60" i="64"/>
  <c r="C60" i="64"/>
  <c r="O59" i="64"/>
  <c r="N59" i="64"/>
  <c r="M59" i="64"/>
  <c r="L59" i="64"/>
  <c r="K59" i="64"/>
  <c r="J59" i="64"/>
  <c r="I59" i="64"/>
  <c r="H59" i="64"/>
  <c r="G59" i="64"/>
  <c r="F59" i="64"/>
  <c r="E59" i="64"/>
  <c r="D59" i="64"/>
  <c r="C59" i="64"/>
  <c r="O58" i="64"/>
  <c r="N58" i="64"/>
  <c r="M58" i="64"/>
  <c r="L58" i="64"/>
  <c r="K58" i="64"/>
  <c r="J58" i="64"/>
  <c r="I58" i="64"/>
  <c r="H58" i="64"/>
  <c r="G58" i="64"/>
  <c r="F58" i="64"/>
  <c r="E58" i="64"/>
  <c r="D58" i="64"/>
  <c r="C58" i="64"/>
  <c r="O57" i="64"/>
  <c r="N57" i="64"/>
  <c r="M57" i="64"/>
  <c r="L57" i="64"/>
  <c r="K57" i="64"/>
  <c r="J57" i="64"/>
  <c r="I57" i="64"/>
  <c r="H57" i="64"/>
  <c r="G57" i="64"/>
  <c r="F57" i="64"/>
  <c r="E57" i="64"/>
  <c r="D57" i="64"/>
  <c r="C57" i="64"/>
  <c r="O56" i="64"/>
  <c r="N56" i="64"/>
  <c r="M56" i="64"/>
  <c r="L56" i="64"/>
  <c r="K56" i="64"/>
  <c r="J56" i="64"/>
  <c r="I56" i="64"/>
  <c r="H56" i="64"/>
  <c r="G56" i="64"/>
  <c r="F56" i="64"/>
  <c r="E56" i="64"/>
  <c r="D56" i="64"/>
  <c r="C56" i="64"/>
  <c r="O55" i="64"/>
  <c r="N55" i="64"/>
  <c r="M55" i="64"/>
  <c r="L55" i="64"/>
  <c r="K55" i="64"/>
  <c r="J55" i="64"/>
  <c r="I55" i="64"/>
  <c r="H55" i="64"/>
  <c r="G55" i="64"/>
  <c r="F55" i="64"/>
  <c r="E55" i="64"/>
  <c r="D55" i="64"/>
  <c r="C55" i="64"/>
  <c r="O54" i="64"/>
  <c r="N54" i="64"/>
  <c r="M54" i="64"/>
  <c r="L54" i="64"/>
  <c r="K54" i="64"/>
  <c r="J54" i="64"/>
  <c r="I54" i="64"/>
  <c r="H54" i="64"/>
  <c r="G54" i="64"/>
  <c r="F54" i="64"/>
  <c r="E54" i="64"/>
  <c r="D54" i="64"/>
  <c r="C54" i="64"/>
  <c r="O53" i="64"/>
  <c r="N53" i="64"/>
  <c r="M53" i="64"/>
  <c r="L53" i="64"/>
  <c r="K53" i="64"/>
  <c r="J53" i="64"/>
  <c r="I53" i="64"/>
  <c r="H53" i="64"/>
  <c r="G53" i="64"/>
  <c r="F53" i="64"/>
  <c r="E53" i="64"/>
  <c r="D53" i="64"/>
  <c r="C53" i="64"/>
  <c r="O52" i="64"/>
  <c r="N52" i="64"/>
  <c r="M52" i="64"/>
  <c r="L52" i="64"/>
  <c r="K52" i="64"/>
  <c r="J52" i="64"/>
  <c r="I52" i="64"/>
  <c r="H52" i="64"/>
  <c r="G52" i="64"/>
  <c r="F52" i="64"/>
  <c r="E52" i="64"/>
  <c r="D52" i="64"/>
  <c r="C52" i="64"/>
  <c r="O51" i="64"/>
  <c r="N51" i="64"/>
  <c r="M51" i="64"/>
  <c r="L51" i="64"/>
  <c r="K51" i="64"/>
  <c r="J51" i="64"/>
  <c r="I51" i="64"/>
  <c r="H51" i="64"/>
  <c r="G51" i="64"/>
  <c r="F51" i="64"/>
  <c r="E51" i="64"/>
  <c r="D51" i="64"/>
  <c r="C51" i="64"/>
  <c r="O50" i="64"/>
  <c r="N50" i="64"/>
  <c r="M50" i="64"/>
  <c r="L50" i="64"/>
  <c r="K50" i="64"/>
  <c r="J50" i="64"/>
  <c r="I50" i="64"/>
  <c r="H50" i="64"/>
  <c r="G50" i="64"/>
  <c r="F50" i="64"/>
  <c r="E50" i="64"/>
  <c r="D50" i="64"/>
  <c r="C50" i="64"/>
  <c r="O49" i="64"/>
  <c r="N49" i="64"/>
  <c r="M49" i="64"/>
  <c r="L49" i="64"/>
  <c r="K49" i="64"/>
  <c r="J49" i="64"/>
  <c r="I49" i="64"/>
  <c r="H49" i="64"/>
  <c r="G49" i="64"/>
  <c r="F49" i="64"/>
  <c r="E49" i="64"/>
  <c r="D49" i="64"/>
  <c r="C49" i="64"/>
  <c r="O48" i="64"/>
  <c r="N48" i="64"/>
  <c r="M48" i="64"/>
  <c r="L48" i="64"/>
  <c r="K48" i="64"/>
  <c r="J48" i="64"/>
  <c r="I48" i="64"/>
  <c r="H48" i="64"/>
  <c r="G48" i="64"/>
  <c r="F48" i="64"/>
  <c r="E48" i="64"/>
  <c r="D48" i="64"/>
  <c r="C48" i="64"/>
  <c r="O47" i="64"/>
  <c r="N47" i="64"/>
  <c r="M47" i="64"/>
  <c r="L47" i="64"/>
  <c r="K47" i="64"/>
  <c r="J47" i="64"/>
  <c r="I47" i="64"/>
  <c r="H47" i="64"/>
  <c r="G47" i="64"/>
  <c r="F47" i="64"/>
  <c r="E47" i="64"/>
  <c r="D47" i="64"/>
  <c r="C47" i="64"/>
  <c r="O46" i="64"/>
  <c r="N46" i="64"/>
  <c r="M46" i="64"/>
  <c r="L46" i="64"/>
  <c r="K46" i="64"/>
  <c r="J46" i="64"/>
  <c r="I46" i="64"/>
  <c r="H46" i="64"/>
  <c r="G46" i="64"/>
  <c r="F46" i="64"/>
  <c r="E46" i="64"/>
  <c r="D46" i="64"/>
  <c r="C46" i="64"/>
  <c r="O45" i="64"/>
  <c r="N45" i="64"/>
  <c r="M45" i="64"/>
  <c r="L45" i="64"/>
  <c r="K45" i="64"/>
  <c r="J45" i="64"/>
  <c r="I45" i="64"/>
  <c r="H45" i="64"/>
  <c r="G45" i="64"/>
  <c r="F45" i="64"/>
  <c r="E45" i="64"/>
  <c r="D45" i="64"/>
  <c r="C45" i="64"/>
  <c r="O44" i="64"/>
  <c r="N44" i="64"/>
  <c r="M44" i="64"/>
  <c r="L44" i="64"/>
  <c r="K44" i="64"/>
  <c r="J44" i="64"/>
  <c r="I44" i="64"/>
  <c r="H44" i="64"/>
  <c r="G44" i="64"/>
  <c r="F44" i="64"/>
  <c r="E44" i="64"/>
  <c r="D44" i="64"/>
  <c r="C44" i="64"/>
  <c r="O43" i="64"/>
  <c r="N43" i="64"/>
  <c r="M43" i="64"/>
  <c r="L43" i="64"/>
  <c r="K43" i="64"/>
  <c r="J43" i="64"/>
  <c r="I43" i="64"/>
  <c r="H43" i="64"/>
  <c r="G43" i="64"/>
  <c r="F43" i="64"/>
  <c r="E43" i="64"/>
  <c r="D43" i="64"/>
  <c r="C43" i="64"/>
  <c r="O42" i="64"/>
  <c r="N42" i="64"/>
  <c r="M42" i="64"/>
  <c r="L42" i="64"/>
  <c r="K42" i="64"/>
  <c r="J42" i="64"/>
  <c r="I42" i="64"/>
  <c r="H42" i="64"/>
  <c r="G42" i="64"/>
  <c r="F42" i="64"/>
  <c r="E42" i="64"/>
  <c r="D42" i="64"/>
  <c r="C42" i="64"/>
  <c r="O41" i="64"/>
  <c r="N41" i="64"/>
  <c r="M41" i="64"/>
  <c r="L41" i="64"/>
  <c r="K41" i="64"/>
  <c r="J41" i="64"/>
  <c r="I41" i="64"/>
  <c r="H41" i="64"/>
  <c r="G41" i="64"/>
  <c r="F41" i="64"/>
  <c r="E41" i="64"/>
  <c r="D41" i="64"/>
  <c r="C41" i="64"/>
  <c r="O40" i="64"/>
  <c r="N40" i="64"/>
  <c r="M40" i="64"/>
  <c r="L40" i="64"/>
  <c r="K40" i="64"/>
  <c r="J40" i="64"/>
  <c r="I40" i="64"/>
  <c r="H40" i="64"/>
  <c r="G40" i="64"/>
  <c r="F40" i="64"/>
  <c r="E40" i="64"/>
  <c r="D40" i="64"/>
  <c r="C40" i="64"/>
  <c r="O39" i="64"/>
  <c r="N39" i="64"/>
  <c r="M39" i="64"/>
  <c r="L39" i="64"/>
  <c r="K39" i="64"/>
  <c r="J39" i="64"/>
  <c r="I39" i="64"/>
  <c r="H39" i="64"/>
  <c r="G39" i="64"/>
  <c r="F39" i="64"/>
  <c r="E39" i="64"/>
  <c r="D39" i="64"/>
  <c r="C39" i="64"/>
  <c r="O38" i="64"/>
  <c r="N38" i="64"/>
  <c r="M38" i="64"/>
  <c r="L38" i="64"/>
  <c r="K38" i="64"/>
  <c r="J38" i="64"/>
  <c r="I38" i="64"/>
  <c r="H38" i="64"/>
  <c r="G38" i="64"/>
  <c r="F38" i="64"/>
  <c r="E38" i="64"/>
  <c r="D38" i="64"/>
  <c r="C38" i="64"/>
  <c r="O37" i="64"/>
  <c r="N37" i="64"/>
  <c r="M37" i="64"/>
  <c r="L37" i="64"/>
  <c r="K37" i="64"/>
  <c r="J37" i="64"/>
  <c r="I37" i="64"/>
  <c r="H37" i="64"/>
  <c r="G37" i="64"/>
  <c r="F37" i="64"/>
  <c r="E37" i="64"/>
  <c r="D37" i="64"/>
  <c r="C37" i="64"/>
  <c r="O36" i="64"/>
  <c r="N36" i="64"/>
  <c r="M36" i="64"/>
  <c r="L36" i="64"/>
  <c r="K36" i="64"/>
  <c r="J36" i="64"/>
  <c r="I36" i="64"/>
  <c r="H36" i="64"/>
  <c r="G36" i="64"/>
  <c r="F36" i="64"/>
  <c r="E36" i="64"/>
  <c r="D36" i="64"/>
  <c r="C36" i="64"/>
  <c r="O35" i="64"/>
  <c r="N35" i="64"/>
  <c r="M35" i="64"/>
  <c r="L35" i="64"/>
  <c r="K35" i="64"/>
  <c r="J35" i="64"/>
  <c r="I35" i="64"/>
  <c r="H35" i="64"/>
  <c r="G35" i="64"/>
  <c r="F35" i="64"/>
  <c r="E35" i="64"/>
  <c r="D35" i="64"/>
  <c r="C35" i="64"/>
  <c r="O34" i="64"/>
  <c r="N34" i="64"/>
  <c r="M34" i="64"/>
  <c r="L34" i="64"/>
  <c r="K34" i="64"/>
  <c r="J34" i="64"/>
  <c r="I34" i="64"/>
  <c r="H34" i="64"/>
  <c r="G34" i="64"/>
  <c r="F34" i="64"/>
  <c r="E34" i="64"/>
  <c r="D34" i="64"/>
  <c r="C34" i="64"/>
  <c r="O33" i="64"/>
  <c r="N33" i="64"/>
  <c r="M33" i="64"/>
  <c r="L33" i="64"/>
  <c r="K33" i="64"/>
  <c r="J33" i="64"/>
  <c r="I33" i="64"/>
  <c r="H33" i="64"/>
  <c r="G33" i="64"/>
  <c r="F33" i="64"/>
  <c r="E33" i="64"/>
  <c r="D33" i="64"/>
  <c r="C33" i="64"/>
  <c r="O32" i="64"/>
  <c r="N32" i="64"/>
  <c r="M32" i="64"/>
  <c r="L32" i="64"/>
  <c r="K32" i="64"/>
  <c r="J32" i="64"/>
  <c r="I32" i="64"/>
  <c r="H32" i="64"/>
  <c r="G32" i="64"/>
  <c r="F32" i="64"/>
  <c r="E32" i="64"/>
  <c r="D32" i="64"/>
  <c r="C32" i="64"/>
  <c r="O31" i="64"/>
  <c r="N31" i="64"/>
  <c r="M31" i="64"/>
  <c r="L31" i="64"/>
  <c r="K31" i="64"/>
  <c r="J31" i="64"/>
  <c r="I31" i="64"/>
  <c r="H31" i="64"/>
  <c r="G31" i="64"/>
  <c r="F31" i="64"/>
  <c r="E31" i="64"/>
  <c r="D31" i="64"/>
  <c r="C31" i="64"/>
  <c r="O30" i="64"/>
  <c r="N30" i="64"/>
  <c r="M30" i="64"/>
  <c r="L30" i="64"/>
  <c r="K30" i="64"/>
  <c r="J30" i="64"/>
  <c r="I30" i="64"/>
  <c r="H30" i="64"/>
  <c r="G30" i="64"/>
  <c r="F30" i="64"/>
  <c r="E30" i="64"/>
  <c r="D30" i="64"/>
  <c r="C30" i="64"/>
  <c r="O29" i="64"/>
  <c r="N29" i="64"/>
  <c r="M29" i="64"/>
  <c r="L29" i="64"/>
  <c r="K29" i="64"/>
  <c r="J29" i="64"/>
  <c r="I29" i="64"/>
  <c r="H29" i="64"/>
  <c r="G29" i="64"/>
  <c r="F29" i="64"/>
  <c r="E29" i="64"/>
  <c r="D29" i="64"/>
  <c r="C29" i="64"/>
  <c r="O28" i="64"/>
  <c r="N28" i="64"/>
  <c r="M28" i="64"/>
  <c r="L28" i="64"/>
  <c r="K28" i="64"/>
  <c r="J28" i="64"/>
  <c r="I28" i="64"/>
  <c r="H28" i="64"/>
  <c r="G28" i="64"/>
  <c r="F28" i="64"/>
  <c r="E28" i="64"/>
  <c r="D28" i="64"/>
  <c r="C28" i="64"/>
  <c r="O27" i="64"/>
  <c r="N27" i="64"/>
  <c r="M27" i="64"/>
  <c r="L27" i="64"/>
  <c r="K27" i="64"/>
  <c r="J27" i="64"/>
  <c r="I27" i="64"/>
  <c r="H27" i="64"/>
  <c r="G27" i="64"/>
  <c r="F27" i="64"/>
  <c r="E27" i="64"/>
  <c r="D27" i="64"/>
  <c r="C27" i="64"/>
  <c r="O26" i="64"/>
  <c r="N26" i="64"/>
  <c r="M26" i="64"/>
  <c r="L26" i="64"/>
  <c r="K26" i="64"/>
  <c r="J26" i="64"/>
  <c r="I26" i="64"/>
  <c r="H26" i="64"/>
  <c r="G26" i="64"/>
  <c r="F26" i="64"/>
  <c r="E26" i="64"/>
  <c r="D26" i="64"/>
  <c r="C26" i="64"/>
  <c r="O25" i="64"/>
  <c r="N25" i="64"/>
  <c r="M25" i="64"/>
  <c r="L25" i="64"/>
  <c r="K25" i="64"/>
  <c r="J25" i="64"/>
  <c r="I25" i="64"/>
  <c r="H25" i="64"/>
  <c r="G25" i="64"/>
  <c r="F25" i="64"/>
  <c r="E25" i="64"/>
  <c r="D25" i="64"/>
  <c r="C25" i="64"/>
  <c r="O24" i="64"/>
  <c r="N24" i="64"/>
  <c r="M24" i="64"/>
  <c r="L24" i="64"/>
  <c r="K24" i="64"/>
  <c r="J24" i="64"/>
  <c r="I24" i="64"/>
  <c r="H24" i="64"/>
  <c r="G24" i="64"/>
  <c r="F24" i="64"/>
  <c r="E24" i="64"/>
  <c r="D24" i="64"/>
  <c r="C24" i="64"/>
  <c r="O23" i="64"/>
  <c r="N23" i="64"/>
  <c r="M23" i="64"/>
  <c r="L23" i="64"/>
  <c r="K23" i="64"/>
  <c r="J23" i="64"/>
  <c r="I23" i="64"/>
  <c r="H23" i="64"/>
  <c r="G23" i="64"/>
  <c r="F23" i="64"/>
  <c r="E23" i="64"/>
  <c r="D23" i="64"/>
  <c r="C23" i="64"/>
  <c r="O22" i="64"/>
  <c r="N22" i="64"/>
  <c r="M22" i="64"/>
  <c r="L22" i="64"/>
  <c r="K22" i="64"/>
  <c r="J22" i="64"/>
  <c r="I22" i="64"/>
  <c r="H22" i="64"/>
  <c r="G22" i="64"/>
  <c r="F22" i="64"/>
  <c r="E22" i="64"/>
  <c r="D22" i="64"/>
  <c r="C22" i="64"/>
  <c r="O21" i="64"/>
  <c r="N21" i="64"/>
  <c r="M21" i="64"/>
  <c r="L21" i="64"/>
  <c r="K21" i="64"/>
  <c r="J21" i="64"/>
  <c r="I21" i="64"/>
  <c r="H21" i="64"/>
  <c r="G21" i="64"/>
  <c r="F21" i="64"/>
  <c r="E21" i="64"/>
  <c r="D21" i="64"/>
  <c r="C21" i="64"/>
  <c r="O20" i="64"/>
  <c r="N20" i="64"/>
  <c r="M20" i="64"/>
  <c r="L20" i="64"/>
  <c r="K20" i="64"/>
  <c r="J20" i="64"/>
  <c r="I20" i="64"/>
  <c r="H20" i="64"/>
  <c r="G20" i="64"/>
  <c r="F20" i="64"/>
  <c r="E20" i="64"/>
  <c r="D20" i="64"/>
  <c r="C20" i="64"/>
  <c r="O19" i="64"/>
  <c r="N19" i="64"/>
  <c r="M19" i="64"/>
  <c r="L19" i="64"/>
  <c r="K19" i="64"/>
  <c r="J19" i="64"/>
  <c r="I19" i="64"/>
  <c r="H19" i="64"/>
  <c r="G19" i="64"/>
  <c r="F19" i="64"/>
  <c r="E19" i="64"/>
  <c r="D19" i="64"/>
  <c r="C19" i="64"/>
  <c r="O18" i="64"/>
  <c r="N18" i="64"/>
  <c r="M18" i="64"/>
  <c r="L18" i="64"/>
  <c r="K18" i="64"/>
  <c r="J18" i="64"/>
  <c r="I18" i="64"/>
  <c r="H18" i="64"/>
  <c r="G18" i="64"/>
  <c r="F18" i="64"/>
  <c r="E18" i="64"/>
  <c r="D18" i="64"/>
  <c r="C18" i="64"/>
  <c r="O17" i="64"/>
  <c r="N17" i="64"/>
  <c r="M17" i="64"/>
  <c r="L17" i="64"/>
  <c r="K17" i="64"/>
  <c r="J17" i="64"/>
  <c r="I17" i="64"/>
  <c r="H17" i="64"/>
  <c r="G17" i="64"/>
  <c r="F17" i="64"/>
  <c r="E17" i="64"/>
  <c r="D17" i="64"/>
  <c r="C17" i="64"/>
  <c r="O16" i="64"/>
  <c r="N16" i="64"/>
  <c r="M16" i="64"/>
  <c r="L16" i="64"/>
  <c r="K16" i="64"/>
  <c r="J16" i="64"/>
  <c r="I16" i="64"/>
  <c r="H16" i="64"/>
  <c r="G16" i="64"/>
  <c r="F16" i="64"/>
  <c r="E16" i="64"/>
  <c r="D16" i="64"/>
  <c r="C16" i="64"/>
  <c r="O15" i="64"/>
  <c r="N15" i="64"/>
  <c r="M15" i="64"/>
  <c r="L15" i="64"/>
  <c r="K15" i="64"/>
  <c r="J15" i="64"/>
  <c r="I15" i="64"/>
  <c r="H15" i="64"/>
  <c r="G15" i="64"/>
  <c r="F15" i="64"/>
  <c r="E15" i="64"/>
  <c r="D15" i="64"/>
  <c r="C15" i="64"/>
  <c r="N14" i="64"/>
  <c r="M14" i="64"/>
  <c r="L14" i="64"/>
  <c r="K14" i="64"/>
  <c r="J14" i="64"/>
  <c r="T2" i="64" s="1"/>
  <c r="I14" i="64"/>
  <c r="H14" i="64"/>
  <c r="G14" i="64"/>
  <c r="F14" i="64"/>
  <c r="E14" i="64"/>
  <c r="D14" i="64"/>
  <c r="C14" i="64"/>
  <c r="M13" i="64"/>
  <c r="L13" i="64"/>
  <c r="K13" i="64"/>
  <c r="J13" i="64"/>
  <c r="I13" i="64"/>
  <c r="H13" i="64"/>
  <c r="G13" i="64"/>
  <c r="F13" i="64"/>
  <c r="E13" i="64"/>
  <c r="D13" i="64"/>
  <c r="C13" i="64"/>
  <c r="L12" i="64"/>
  <c r="K12" i="64"/>
  <c r="J12" i="64"/>
  <c r="I12" i="64"/>
  <c r="H12" i="64"/>
  <c r="G12" i="64"/>
  <c r="F12" i="64"/>
  <c r="E12" i="64"/>
  <c r="D12" i="64"/>
  <c r="C12" i="64"/>
  <c r="K11" i="64"/>
  <c r="J11" i="64"/>
  <c r="I11" i="64"/>
  <c r="H11" i="64"/>
  <c r="G11" i="64"/>
  <c r="F11" i="64"/>
  <c r="E11" i="64"/>
  <c r="D11" i="64"/>
  <c r="C11" i="64"/>
  <c r="J10" i="64"/>
  <c r="I10" i="64"/>
  <c r="H10" i="64"/>
  <c r="G10" i="64"/>
  <c r="F10" i="64"/>
  <c r="E10" i="64"/>
  <c r="D10" i="64"/>
  <c r="C10" i="64"/>
  <c r="I9" i="64"/>
  <c r="H9" i="64"/>
  <c r="G9" i="64"/>
  <c r="F9" i="64"/>
  <c r="E9" i="64"/>
  <c r="D9" i="64"/>
  <c r="C9" i="64"/>
  <c r="H8" i="64"/>
  <c r="G8" i="64"/>
  <c r="F8" i="64"/>
  <c r="E8" i="64"/>
  <c r="D8" i="64"/>
  <c r="C8" i="64"/>
  <c r="G7" i="64"/>
  <c r="F7" i="64"/>
  <c r="E7" i="64"/>
  <c r="D7" i="64"/>
  <c r="C7" i="64"/>
  <c r="F6" i="64"/>
  <c r="E6" i="64"/>
  <c r="D6" i="64"/>
  <c r="C6" i="64"/>
  <c r="E5" i="64"/>
  <c r="D5" i="64"/>
  <c r="C5" i="64"/>
  <c r="D4" i="64"/>
  <c r="C4" i="64"/>
  <c r="L2" i="64"/>
  <c r="D30" i="62"/>
  <c r="C30" i="62"/>
  <c r="B30" i="62"/>
  <c r="Y26" i="62"/>
  <c r="Y30" i="62" s="1"/>
  <c r="X25" i="62"/>
  <c r="X26" i="62"/>
  <c r="W24" i="62"/>
  <c r="W25" i="62"/>
  <c r="W30" i="62" s="1"/>
  <c r="W26" i="62"/>
  <c r="V23" i="62"/>
  <c r="V24" i="62"/>
  <c r="V25" i="62"/>
  <c r="V26" i="62"/>
  <c r="U22" i="62"/>
  <c r="U23" i="62"/>
  <c r="U24" i="62"/>
  <c r="U30" i="62" s="1"/>
  <c r="U25" i="62"/>
  <c r="U26" i="62"/>
  <c r="T21" i="62"/>
  <c r="T22" i="62"/>
  <c r="T23" i="62"/>
  <c r="T24" i="62"/>
  <c r="T25" i="62"/>
  <c r="T26" i="62"/>
  <c r="S20" i="62"/>
  <c r="S21" i="62"/>
  <c r="S22" i="62"/>
  <c r="S23" i="62"/>
  <c r="S24" i="62"/>
  <c r="S25" i="62"/>
  <c r="S26" i="62"/>
  <c r="R19" i="62"/>
  <c r="R20" i="62"/>
  <c r="R21" i="62"/>
  <c r="R22" i="62"/>
  <c r="R23" i="62"/>
  <c r="R24" i="62"/>
  <c r="R25" i="62"/>
  <c r="R26" i="62"/>
  <c r="Q18" i="62"/>
  <c r="Q30" i="62" s="1"/>
  <c r="Q19" i="62"/>
  <c r="Q20" i="62"/>
  <c r="Q21" i="62"/>
  <c r="Q22" i="62"/>
  <c r="Q23" i="62"/>
  <c r="Q24" i="62"/>
  <c r="Q25" i="62"/>
  <c r="Q26" i="62"/>
  <c r="P17" i="62"/>
  <c r="P18" i="62"/>
  <c r="P19" i="62"/>
  <c r="P20" i="62"/>
  <c r="P21" i="62"/>
  <c r="P22" i="62"/>
  <c r="P23" i="62"/>
  <c r="P24" i="62"/>
  <c r="P25" i="62"/>
  <c r="P26" i="62"/>
  <c r="O16" i="62"/>
  <c r="O17" i="62"/>
  <c r="O18" i="62"/>
  <c r="O19" i="62"/>
  <c r="O20" i="62"/>
  <c r="O21" i="62"/>
  <c r="O22" i="62"/>
  <c r="O23" i="62"/>
  <c r="O24" i="62"/>
  <c r="O25" i="62"/>
  <c r="O26" i="62"/>
  <c r="N15" i="62"/>
  <c r="N16" i="62"/>
  <c r="N17" i="62"/>
  <c r="N18" i="62"/>
  <c r="N19" i="62"/>
  <c r="N20" i="62"/>
  <c r="N21" i="62"/>
  <c r="N22" i="62"/>
  <c r="N23" i="62"/>
  <c r="N24" i="62"/>
  <c r="N25" i="62"/>
  <c r="N26" i="62"/>
  <c r="M14" i="62"/>
  <c r="M15" i="62"/>
  <c r="M16" i="62"/>
  <c r="M30" i="62" s="1"/>
  <c r="M17" i="62"/>
  <c r="M18" i="62"/>
  <c r="M19" i="62"/>
  <c r="M20" i="62"/>
  <c r="M21" i="62"/>
  <c r="M22" i="62"/>
  <c r="M23" i="62"/>
  <c r="M24" i="62"/>
  <c r="M25" i="62"/>
  <c r="M26" i="62"/>
  <c r="L13" i="62"/>
  <c r="L14" i="62"/>
  <c r="L15" i="62"/>
  <c r="L16" i="62"/>
  <c r="L17" i="62"/>
  <c r="L18" i="62"/>
  <c r="L19" i="62"/>
  <c r="L20" i="62"/>
  <c r="L21" i="62"/>
  <c r="L22" i="62"/>
  <c r="L23" i="62"/>
  <c r="L24" i="62"/>
  <c r="L25" i="62"/>
  <c r="L26" i="62"/>
  <c r="K12" i="62"/>
  <c r="K13" i="62"/>
  <c r="K14" i="62"/>
  <c r="K15" i="62"/>
  <c r="K16" i="62"/>
  <c r="K17" i="62"/>
  <c r="K18" i="62"/>
  <c r="K19" i="62"/>
  <c r="K20" i="62"/>
  <c r="K21" i="62"/>
  <c r="K22" i="62"/>
  <c r="K23" i="62"/>
  <c r="K24" i="62"/>
  <c r="K25" i="62"/>
  <c r="K26" i="62"/>
  <c r="Z26" i="62"/>
  <c r="Z30" i="62" s="1"/>
  <c r="Y25" i="62"/>
  <c r="X24" i="62"/>
  <c r="X30" i="62" s="1"/>
  <c r="W23" i="62"/>
  <c r="V22" i="62"/>
  <c r="V30" i="62" s="1"/>
  <c r="U21" i="62"/>
  <c r="T20" i="62"/>
  <c r="T30" i="62" s="1"/>
  <c r="S19" i="62"/>
  <c r="S30" i="62" s="1"/>
  <c r="R18" i="62"/>
  <c r="R30" i="62" s="1"/>
  <c r="Q17" i="62"/>
  <c r="P16" i="62"/>
  <c r="P30" i="62" s="1"/>
  <c r="O15" i="62"/>
  <c r="O30" i="62" s="1"/>
  <c r="N14" i="62"/>
  <c r="N30" i="62" s="1"/>
  <c r="M13" i="62"/>
  <c r="L12" i="62"/>
  <c r="L30" i="62" s="1"/>
  <c r="K11" i="62"/>
  <c r="K30" i="62" s="1"/>
  <c r="J11" i="62"/>
  <c r="J12" i="62"/>
  <c r="J13" i="62"/>
  <c r="J14" i="62"/>
  <c r="J15" i="62"/>
  <c r="J16" i="62"/>
  <c r="J17" i="62"/>
  <c r="J18" i="62"/>
  <c r="J19" i="62"/>
  <c r="J20" i="62"/>
  <c r="J21" i="62"/>
  <c r="J22" i="62"/>
  <c r="J23" i="62"/>
  <c r="J24" i="62"/>
  <c r="J25" i="62"/>
  <c r="J26" i="62"/>
  <c r="I10" i="62"/>
  <c r="I11" i="62"/>
  <c r="I12" i="62"/>
  <c r="I13" i="62"/>
  <c r="I14" i="62"/>
  <c r="I15" i="62"/>
  <c r="I16" i="62"/>
  <c r="I17" i="62"/>
  <c r="I18" i="62"/>
  <c r="I19" i="62"/>
  <c r="I20" i="62"/>
  <c r="I21" i="62"/>
  <c r="I22" i="62"/>
  <c r="I23" i="62"/>
  <c r="I24" i="62"/>
  <c r="I25" i="62"/>
  <c r="I26" i="62"/>
  <c r="H9" i="62"/>
  <c r="H10" i="62"/>
  <c r="H11" i="62"/>
  <c r="H12" i="62"/>
  <c r="H13" i="62"/>
  <c r="H14" i="62"/>
  <c r="H15" i="62"/>
  <c r="H16" i="62"/>
  <c r="H17" i="62"/>
  <c r="H18" i="62"/>
  <c r="H19" i="62"/>
  <c r="H20" i="62"/>
  <c r="H21" i="62"/>
  <c r="H22" i="62"/>
  <c r="H23" i="62"/>
  <c r="H24" i="62"/>
  <c r="H25" i="62"/>
  <c r="H26" i="62"/>
  <c r="G8" i="62"/>
  <c r="G9" i="62"/>
  <c r="G10" i="62"/>
  <c r="G11" i="62"/>
  <c r="G12" i="62"/>
  <c r="G13" i="62"/>
  <c r="G14" i="62"/>
  <c r="G15" i="62"/>
  <c r="G16" i="62"/>
  <c r="G17" i="62"/>
  <c r="G18" i="62"/>
  <c r="G19" i="62"/>
  <c r="G20" i="62"/>
  <c r="G21" i="62"/>
  <c r="G22" i="62"/>
  <c r="G23" i="62"/>
  <c r="G24" i="62"/>
  <c r="G25" i="62"/>
  <c r="G26" i="62"/>
  <c r="F7" i="62"/>
  <c r="F8" i="62"/>
  <c r="F9" i="62"/>
  <c r="F10" i="62"/>
  <c r="F11" i="62"/>
  <c r="F12" i="62"/>
  <c r="F13" i="62"/>
  <c r="F14" i="62"/>
  <c r="F15" i="62"/>
  <c r="F16" i="62"/>
  <c r="F17" i="62"/>
  <c r="F18" i="62"/>
  <c r="F19" i="62"/>
  <c r="F20" i="62"/>
  <c r="F21" i="62"/>
  <c r="F22" i="62"/>
  <c r="F23" i="62"/>
  <c r="F24" i="62"/>
  <c r="F25" i="62"/>
  <c r="F26" i="62"/>
  <c r="E6" i="62"/>
  <c r="E7" i="62"/>
  <c r="E8" i="62"/>
  <c r="E9" i="62"/>
  <c r="E10" i="62"/>
  <c r="E11" i="62"/>
  <c r="E12" i="62"/>
  <c r="E13" i="62"/>
  <c r="E14" i="62"/>
  <c r="E15" i="62"/>
  <c r="E16" i="62"/>
  <c r="E17" i="62"/>
  <c r="E18" i="62"/>
  <c r="E19" i="62"/>
  <c r="E20" i="62"/>
  <c r="E21" i="62"/>
  <c r="E22" i="62"/>
  <c r="E23" i="62"/>
  <c r="E24" i="62"/>
  <c r="E25" i="62"/>
  <c r="E26" i="62"/>
  <c r="J10" i="62"/>
  <c r="J30" i="62" s="1"/>
  <c r="I9" i="62"/>
  <c r="I30" i="62" s="1"/>
  <c r="H8" i="62"/>
  <c r="H30" i="62" s="1"/>
  <c r="G7" i="62"/>
  <c r="G30" i="62" s="1"/>
  <c r="F6" i="62"/>
  <c r="F30" i="62" s="1"/>
  <c r="E5" i="62"/>
  <c r="E30" i="62" s="1"/>
  <c r="D5" i="61"/>
  <c r="D6" i="61"/>
  <c r="K2" i="61" s="1"/>
  <c r="D7" i="61"/>
  <c r="D8" i="61"/>
  <c r="D9" i="61"/>
  <c r="D10" i="61"/>
  <c r="D11" i="61"/>
  <c r="D12" i="61"/>
  <c r="D13" i="61"/>
  <c r="D14" i="61"/>
  <c r="D15" i="61"/>
  <c r="D16" i="61"/>
  <c r="D17" i="61"/>
  <c r="D18" i="61"/>
  <c r="D19" i="61"/>
  <c r="D20" i="61"/>
  <c r="D21" i="61"/>
  <c r="D22" i="61"/>
  <c r="D23" i="61"/>
  <c r="D24" i="61"/>
  <c r="D25" i="61"/>
  <c r="D26" i="61"/>
  <c r="D27" i="61"/>
  <c r="D28" i="61"/>
  <c r="D29" i="61"/>
  <c r="D30" i="61"/>
  <c r="D31" i="61"/>
  <c r="D32" i="61"/>
  <c r="D33" i="61"/>
  <c r="D34" i="61"/>
  <c r="D35" i="61"/>
  <c r="D36" i="61"/>
  <c r="D37" i="61"/>
  <c r="D38" i="61"/>
  <c r="D39" i="61"/>
  <c r="D40" i="61"/>
  <c r="D41" i="61"/>
  <c r="D42" i="61"/>
  <c r="D43" i="61"/>
  <c r="D44" i="61"/>
  <c r="D45" i="61"/>
  <c r="D46" i="61"/>
  <c r="D47" i="61"/>
  <c r="D48" i="61"/>
  <c r="D49" i="61"/>
  <c r="D50" i="61"/>
  <c r="D51" i="61"/>
  <c r="D52" i="61"/>
  <c r="D53" i="61"/>
  <c r="D54" i="61"/>
  <c r="D55" i="61"/>
  <c r="D56" i="61"/>
  <c r="D57" i="61"/>
  <c r="D58" i="61"/>
  <c r="D59" i="61"/>
  <c r="D60" i="61"/>
  <c r="D61" i="61"/>
  <c r="D62" i="61"/>
  <c r="D63" i="61"/>
  <c r="D64" i="61"/>
  <c r="D65" i="61"/>
  <c r="D66" i="61"/>
  <c r="D67" i="61"/>
  <c r="D68" i="61"/>
  <c r="D69" i="61"/>
  <c r="D70" i="61"/>
  <c r="D71" i="61"/>
  <c r="D72" i="61"/>
  <c r="D73" i="61"/>
  <c r="D74" i="61"/>
  <c r="D75" i="61"/>
  <c r="D76" i="61"/>
  <c r="D77" i="61"/>
  <c r="D78" i="61"/>
  <c r="D79" i="61"/>
  <c r="D80" i="61"/>
  <c r="D81" i="61"/>
  <c r="D82" i="61"/>
  <c r="D83" i="61"/>
  <c r="D84" i="61"/>
  <c r="D85" i="61"/>
  <c r="D86" i="61"/>
  <c r="D87" i="61"/>
  <c r="D88" i="61"/>
  <c r="D89" i="61"/>
  <c r="D90" i="61"/>
  <c r="D91" i="61"/>
  <c r="D92" i="61"/>
  <c r="D93" i="61"/>
  <c r="D94" i="61"/>
  <c r="D95" i="61"/>
  <c r="D96" i="61"/>
  <c r="D97" i="61"/>
  <c r="D98" i="61"/>
  <c r="D99" i="61"/>
  <c r="D100" i="61"/>
  <c r="D101" i="61"/>
  <c r="D102" i="61"/>
  <c r="D103" i="61"/>
  <c r="D104" i="61"/>
  <c r="D105" i="61"/>
  <c r="D106" i="61"/>
  <c r="D107" i="61"/>
  <c r="D108" i="61"/>
  <c r="D109" i="61"/>
  <c r="D110" i="61"/>
  <c r="D111" i="61"/>
  <c r="D112" i="61"/>
  <c r="D113" i="61"/>
  <c r="D114" i="61"/>
  <c r="D115" i="61"/>
  <c r="D116" i="61"/>
  <c r="D117" i="61"/>
  <c r="D118" i="61"/>
  <c r="D119" i="61"/>
  <c r="D120" i="61"/>
  <c r="D121" i="61"/>
  <c r="D122" i="61"/>
  <c r="D123" i="61"/>
  <c r="D124" i="61"/>
  <c r="D125" i="61"/>
  <c r="D126" i="61"/>
  <c r="D127" i="61"/>
  <c r="D128" i="61"/>
  <c r="D129" i="61"/>
  <c r="D130" i="61"/>
  <c r="D131" i="61"/>
  <c r="D132" i="61"/>
  <c r="D133" i="61"/>
  <c r="D134" i="61"/>
  <c r="D135" i="61"/>
  <c r="D136" i="61"/>
  <c r="D137" i="61"/>
  <c r="D138" i="61"/>
  <c r="D139" i="61"/>
  <c r="D140" i="61"/>
  <c r="D141" i="61"/>
  <c r="D142" i="61"/>
  <c r="D143" i="61"/>
  <c r="D144" i="61"/>
  <c r="D145" i="61"/>
  <c r="D146" i="61"/>
  <c r="D147" i="61"/>
  <c r="D148" i="61"/>
  <c r="D149" i="61"/>
  <c r="D150" i="61"/>
  <c r="D151" i="61"/>
  <c r="D152" i="61"/>
  <c r="D153" i="61"/>
  <c r="D154" i="61"/>
  <c r="D155" i="61"/>
  <c r="D156" i="61"/>
  <c r="D157" i="61"/>
  <c r="D158" i="61"/>
  <c r="D159" i="61"/>
  <c r="D160" i="61"/>
  <c r="D4" i="61"/>
  <c r="C4" i="61"/>
  <c r="C5" i="61"/>
  <c r="C6" i="61"/>
  <c r="C7" i="61"/>
  <c r="C8" i="61"/>
  <c r="C9" i="61"/>
  <c r="C10" i="61"/>
  <c r="C11" i="61"/>
  <c r="C12" i="61"/>
  <c r="C13" i="61"/>
  <c r="C14" i="61"/>
  <c r="C15" i="61"/>
  <c r="C16" i="61"/>
  <c r="C17" i="61"/>
  <c r="C18" i="61"/>
  <c r="C19" i="61"/>
  <c r="C20" i="61"/>
  <c r="C21" i="61"/>
  <c r="C22" i="61"/>
  <c r="C23" i="61"/>
  <c r="C24" i="61"/>
  <c r="C25" i="61"/>
  <c r="C26" i="61"/>
  <c r="C27" i="61"/>
  <c r="C28" i="61"/>
  <c r="C29" i="61"/>
  <c r="C30" i="61"/>
  <c r="C31" i="61"/>
  <c r="C32" i="61"/>
  <c r="C33" i="61"/>
  <c r="C34" i="61"/>
  <c r="C35" i="61"/>
  <c r="C36" i="61"/>
  <c r="C37" i="61"/>
  <c r="C38" i="61"/>
  <c r="C39" i="61"/>
  <c r="C40" i="61"/>
  <c r="C41" i="61"/>
  <c r="C42" i="61"/>
  <c r="C43" i="61"/>
  <c r="C44" i="61"/>
  <c r="C45" i="61"/>
  <c r="C46" i="61"/>
  <c r="C47" i="61"/>
  <c r="C48" i="61"/>
  <c r="C49" i="61"/>
  <c r="C50" i="61"/>
  <c r="C51" i="61"/>
  <c r="C52" i="61"/>
  <c r="C53" i="61"/>
  <c r="C54" i="61"/>
  <c r="C55" i="61"/>
  <c r="C56" i="61"/>
  <c r="C57" i="61"/>
  <c r="C58" i="61"/>
  <c r="C59" i="61"/>
  <c r="C60" i="61"/>
  <c r="C61" i="61"/>
  <c r="C62" i="61"/>
  <c r="C63" i="61"/>
  <c r="C64" i="61"/>
  <c r="C65" i="61"/>
  <c r="C66" i="61"/>
  <c r="C67" i="61"/>
  <c r="C68" i="61"/>
  <c r="C69" i="61"/>
  <c r="C70" i="61"/>
  <c r="C71" i="61"/>
  <c r="C72" i="61"/>
  <c r="C73" i="61"/>
  <c r="C74" i="61"/>
  <c r="C75" i="61"/>
  <c r="C76" i="61"/>
  <c r="C77" i="61"/>
  <c r="C78" i="61"/>
  <c r="C79" i="61"/>
  <c r="C80" i="61"/>
  <c r="C81" i="61"/>
  <c r="C82" i="61"/>
  <c r="C83" i="61"/>
  <c r="C84" i="61"/>
  <c r="C85" i="61"/>
  <c r="C86" i="61"/>
  <c r="C87" i="61"/>
  <c r="C88" i="61"/>
  <c r="C89" i="61"/>
  <c r="C90" i="61"/>
  <c r="C91" i="61"/>
  <c r="C92" i="61"/>
  <c r="C93" i="61"/>
  <c r="C94" i="61"/>
  <c r="C95" i="61"/>
  <c r="C96" i="61"/>
  <c r="C97" i="61"/>
  <c r="C98" i="61"/>
  <c r="C99" i="61"/>
  <c r="C100" i="61"/>
  <c r="C101" i="61"/>
  <c r="C102" i="61"/>
  <c r="C103" i="61"/>
  <c r="C104" i="61"/>
  <c r="C105" i="61"/>
  <c r="C106" i="61"/>
  <c r="C107" i="61"/>
  <c r="C108" i="61"/>
  <c r="C109" i="61"/>
  <c r="C110" i="61"/>
  <c r="C111" i="61"/>
  <c r="C112" i="61"/>
  <c r="C113" i="61"/>
  <c r="C114" i="61"/>
  <c r="C115" i="61"/>
  <c r="C116" i="61"/>
  <c r="C117" i="61"/>
  <c r="C118" i="61"/>
  <c r="C119" i="61"/>
  <c r="C120" i="61"/>
  <c r="C121" i="61"/>
  <c r="C122" i="61"/>
  <c r="C123" i="61"/>
  <c r="C124" i="61"/>
  <c r="C125" i="61"/>
  <c r="C126" i="61"/>
  <c r="C127" i="61"/>
  <c r="C128" i="61"/>
  <c r="C129" i="61"/>
  <c r="C130" i="61"/>
  <c r="C131" i="61"/>
  <c r="C132" i="61"/>
  <c r="C133" i="61"/>
  <c r="C134" i="61"/>
  <c r="C135" i="61"/>
  <c r="C136" i="61"/>
  <c r="C137" i="61"/>
  <c r="C138" i="61"/>
  <c r="C139" i="61"/>
  <c r="C140" i="61"/>
  <c r="C141" i="61"/>
  <c r="C142" i="61"/>
  <c r="C143" i="61"/>
  <c r="C144" i="61"/>
  <c r="C145" i="61"/>
  <c r="C146" i="61"/>
  <c r="C147" i="61"/>
  <c r="C148" i="61"/>
  <c r="C149" i="61"/>
  <c r="C150" i="61"/>
  <c r="C151" i="61"/>
  <c r="C152" i="61"/>
  <c r="C153" i="61"/>
  <c r="C154" i="61"/>
  <c r="C155" i="61"/>
  <c r="C156" i="61"/>
  <c r="C157" i="61"/>
  <c r="C158" i="61"/>
  <c r="C159" i="61"/>
  <c r="C160" i="61"/>
  <c r="C3" i="61"/>
  <c r="K1" i="61" s="1"/>
  <c r="M2" i="64" l="1"/>
  <c r="W2" i="64" s="1"/>
  <c r="Q2" i="64"/>
  <c r="U2" i="64"/>
  <c r="P2" i="64"/>
  <c r="D44" i="65"/>
  <c r="E44" i="65" s="1"/>
  <c r="C45" i="65"/>
  <c r="V2" i="64"/>
  <c r="N2" i="64"/>
  <c r="X2" i="64" s="1"/>
  <c r="R2" i="64"/>
  <c r="H44" i="65"/>
  <c r="G45" i="65"/>
  <c r="S2" i="64"/>
  <c r="O2" i="64"/>
  <c r="J122" i="55"/>
  <c r="J124" i="55"/>
  <c r="I44" i="65" l="1"/>
  <c r="J44" i="65"/>
  <c r="D45" i="65"/>
  <c r="E45" i="65" s="1"/>
  <c r="F45" i="65" s="1"/>
  <c r="C46" i="65"/>
  <c r="F44" i="65"/>
  <c r="H45" i="65"/>
  <c r="G46" i="65"/>
  <c r="S31" i="59"/>
  <c r="Q31" i="59"/>
  <c r="O31" i="59"/>
  <c r="M31" i="59"/>
  <c r="O34" i="59" s="1"/>
  <c r="I30" i="59"/>
  <c r="G47" i="65" l="1"/>
  <c r="H46" i="65"/>
  <c r="I45" i="65"/>
  <c r="J45" i="65"/>
  <c r="C47" i="65"/>
  <c r="D46" i="65"/>
  <c r="E46" i="65" s="1"/>
  <c r="F46" i="65" s="1"/>
  <c r="P18" i="58"/>
  <c r="N20" i="58"/>
  <c r="N19" i="58"/>
  <c r="N18" i="58"/>
  <c r="L17" i="58"/>
  <c r="R19" i="58" s="1"/>
  <c r="J46" i="65" l="1"/>
  <c r="I46" i="65"/>
  <c r="C48" i="65"/>
  <c r="D47" i="65"/>
  <c r="E47" i="65" s="1"/>
  <c r="F47" i="65" s="1"/>
  <c r="H47" i="65"/>
  <c r="G48" i="65"/>
  <c r="Q29" i="35"/>
  <c r="O27" i="57"/>
  <c r="M27" i="57"/>
  <c r="K27" i="57"/>
  <c r="I27" i="57"/>
  <c r="L36" i="57" s="1"/>
  <c r="H48" i="65" l="1"/>
  <c r="G49" i="65"/>
  <c r="D48" i="65"/>
  <c r="E48" i="65" s="1"/>
  <c r="F48" i="65" s="1"/>
  <c r="C49" i="65"/>
  <c r="J47" i="65"/>
  <c r="I47" i="65"/>
  <c r="O172" i="10"/>
  <c r="O173" i="10"/>
  <c r="O174" i="10"/>
  <c r="O175" i="10"/>
  <c r="O176" i="10"/>
  <c r="O177" i="10"/>
  <c r="O178" i="10"/>
  <c r="O179" i="10"/>
  <c r="O180" i="10"/>
  <c r="O181" i="10"/>
  <c r="O182" i="10"/>
  <c r="O183" i="10"/>
  <c r="O184" i="10"/>
  <c r="O185" i="10"/>
  <c r="O186" i="10"/>
  <c r="O187" i="10"/>
  <c r="O188" i="10"/>
  <c r="O189" i="10"/>
  <c r="O190" i="10"/>
  <c r="O191" i="10"/>
  <c r="O171" i="10"/>
  <c r="O148" i="10"/>
  <c r="O149" i="10"/>
  <c r="O150" i="10"/>
  <c r="O151" i="10"/>
  <c r="O152" i="10"/>
  <c r="O153" i="10"/>
  <c r="O154" i="10"/>
  <c r="O155" i="10"/>
  <c r="O156" i="10"/>
  <c r="O157" i="10"/>
  <c r="O158" i="10"/>
  <c r="O159" i="10"/>
  <c r="O160" i="10"/>
  <c r="O161" i="10"/>
  <c r="O162" i="10"/>
  <c r="O163" i="10"/>
  <c r="O164" i="10"/>
  <c r="O165" i="10"/>
  <c r="O166" i="10"/>
  <c r="O167" i="10"/>
  <c r="O147" i="10"/>
  <c r="D149" i="10"/>
  <c r="D150" i="10"/>
  <c r="D151" i="10"/>
  <c r="D152" i="10"/>
  <c r="D153" i="10"/>
  <c r="D154" i="10"/>
  <c r="D155" i="10"/>
  <c r="D156" i="10"/>
  <c r="D157" i="10"/>
  <c r="D158" i="10"/>
  <c r="D159" i="10"/>
  <c r="D160" i="10"/>
  <c r="D161" i="10"/>
  <c r="D162" i="10"/>
  <c r="D163" i="10"/>
  <c r="D164" i="10"/>
  <c r="D165" i="10"/>
  <c r="D166" i="10"/>
  <c r="D167" i="10"/>
  <c r="D168" i="10"/>
  <c r="D148" i="10"/>
  <c r="H144" i="10"/>
  <c r="C144" i="10"/>
  <c r="G50" i="65" l="1"/>
  <c r="H49" i="65"/>
  <c r="D49" i="65"/>
  <c r="E49" i="65" s="1"/>
  <c r="F49" i="65" s="1"/>
  <c r="C50" i="65"/>
  <c r="I48" i="65"/>
  <c r="J48" i="65"/>
  <c r="F2" i="51"/>
  <c r="F1" i="51"/>
  <c r="C51" i="65" l="1"/>
  <c r="D50" i="65"/>
  <c r="E50" i="65" s="1"/>
  <c r="F50" i="65" s="1"/>
  <c r="I49" i="65"/>
  <c r="J49" i="65"/>
  <c r="G51" i="65"/>
  <c r="H50" i="65"/>
  <c r="O146" i="11"/>
  <c r="O145" i="11"/>
  <c r="N152" i="11" s="1"/>
  <c r="K145" i="11"/>
  <c r="K146" i="11"/>
  <c r="J50" i="65" l="1"/>
  <c r="I50" i="65"/>
  <c r="K152" i="11"/>
  <c r="G52" i="65"/>
  <c r="H51" i="65"/>
  <c r="D51" i="65"/>
  <c r="E51" i="65" s="1"/>
  <c r="C52" i="65"/>
  <c r="N154" i="11"/>
  <c r="K151" i="11"/>
  <c r="K155" i="11"/>
  <c r="K154" i="11"/>
  <c r="K153" i="11"/>
  <c r="N151" i="11"/>
  <c r="N155" i="11"/>
  <c r="N153" i="11"/>
  <c r="B13" i="8"/>
  <c r="B14" i="8"/>
  <c r="B15" i="8"/>
  <c r="B16" i="8"/>
  <c r="B17" i="8"/>
  <c r="B18" i="8"/>
  <c r="B19" i="8"/>
  <c r="B20" i="8"/>
  <c r="B21" i="8"/>
  <c r="B22" i="8"/>
  <c r="B23" i="8"/>
  <c r="B24" i="8"/>
  <c r="B25" i="8"/>
  <c r="B26" i="8"/>
  <c r="B27" i="8"/>
  <c r="B28" i="8"/>
  <c r="B29" i="8"/>
  <c r="B30" i="8"/>
  <c r="B31" i="8"/>
  <c r="B32" i="8"/>
  <c r="B33" i="8"/>
  <c r="B34" i="8"/>
  <c r="B35" i="8"/>
  <c r="B36" i="8"/>
  <c r="B37" i="8"/>
  <c r="B38" i="8"/>
  <c r="B39" i="8"/>
  <c r="B40" i="8"/>
  <c r="B41" i="8"/>
  <c r="B42" i="8"/>
  <c r="B43" i="8"/>
  <c r="B44" i="8"/>
  <c r="B45" i="8"/>
  <c r="B46" i="8"/>
  <c r="B47" i="8"/>
  <c r="B48" i="8"/>
  <c r="B49" i="8"/>
  <c r="B50" i="8"/>
  <c r="B51" i="8"/>
  <c r="B52" i="8"/>
  <c r="B53" i="8"/>
  <c r="B54" i="8"/>
  <c r="B55" i="8"/>
  <c r="B56" i="8"/>
  <c r="B57" i="8"/>
  <c r="B58" i="8"/>
  <c r="B59" i="8"/>
  <c r="B60" i="8"/>
  <c r="B61" i="8"/>
  <c r="B62" i="8"/>
  <c r="B63" i="8"/>
  <c r="B64" i="8"/>
  <c r="B65" i="8"/>
  <c r="B66" i="8"/>
  <c r="B67" i="8"/>
  <c r="B68" i="8"/>
  <c r="B69" i="8"/>
  <c r="B70" i="8"/>
  <c r="B71" i="8"/>
  <c r="B72" i="8"/>
  <c r="B73" i="8"/>
  <c r="B74" i="8"/>
  <c r="B75" i="8"/>
  <c r="B76" i="8"/>
  <c r="B77" i="8"/>
  <c r="B78" i="8"/>
  <c r="B79" i="8"/>
  <c r="B80" i="8"/>
  <c r="B81" i="8"/>
  <c r="B82" i="8"/>
  <c r="B83" i="8"/>
  <c r="B84" i="8"/>
  <c r="B85" i="8"/>
  <c r="B86" i="8"/>
  <c r="B87" i="8"/>
  <c r="B88" i="8"/>
  <c r="B89" i="8"/>
  <c r="B90" i="8"/>
  <c r="B91" i="8"/>
  <c r="B92" i="8"/>
  <c r="B93" i="8"/>
  <c r="B94" i="8"/>
  <c r="B95" i="8"/>
  <c r="B96" i="8"/>
  <c r="B97" i="8"/>
  <c r="B98" i="8"/>
  <c r="B99" i="8"/>
  <c r="B100" i="8"/>
  <c r="B101" i="8"/>
  <c r="B102" i="8"/>
  <c r="B103" i="8"/>
  <c r="B104" i="8"/>
  <c r="B105" i="8"/>
  <c r="B106" i="8"/>
  <c r="B107" i="8"/>
  <c r="B108" i="8"/>
  <c r="B109" i="8"/>
  <c r="B110" i="8"/>
  <c r="B111" i="8"/>
  <c r="B112" i="8"/>
  <c r="B113" i="8"/>
  <c r="B114" i="8"/>
  <c r="B115" i="8"/>
  <c r="B116" i="8"/>
  <c r="B117" i="8"/>
  <c r="B118" i="8"/>
  <c r="B119" i="8"/>
  <c r="B120" i="8"/>
  <c r="B121" i="8"/>
  <c r="B122" i="8"/>
  <c r="B123" i="8"/>
  <c r="B124" i="8"/>
  <c r="B125" i="8"/>
  <c r="B126" i="8"/>
  <c r="B127" i="8"/>
  <c r="B128" i="8"/>
  <c r="B129" i="8"/>
  <c r="B12" i="8"/>
  <c r="F51" i="65" l="1"/>
  <c r="F53" i="65" s="1"/>
  <c r="F55" i="65" s="1"/>
  <c r="E53" i="65"/>
  <c r="E55" i="65" s="1"/>
  <c r="I51" i="65"/>
  <c r="I53" i="65" s="1"/>
  <c r="I55" i="65" s="1"/>
  <c r="J51" i="65"/>
  <c r="J53" i="65" s="1"/>
  <c r="J55" i="65" s="1"/>
  <c r="T6" i="47"/>
  <c r="X7" i="47" s="1"/>
  <c r="X4" i="47"/>
  <c r="T4" i="47"/>
  <c r="X6" i="47" l="1"/>
  <c r="AF8" i="4"/>
  <c r="AG5" i="4"/>
  <c r="O28" i="47" l="1"/>
  <c r="H28" i="47"/>
  <c r="I28" i="47"/>
  <c r="J28" i="47"/>
  <c r="K28" i="47"/>
  <c r="L28" i="47"/>
  <c r="M28" i="47"/>
  <c r="N28" i="47"/>
  <c r="U9" i="46" l="1"/>
  <c r="U8" i="46"/>
  <c r="U7" i="46"/>
  <c r="Z7" i="46" s="1"/>
  <c r="U6" i="46"/>
  <c r="Y7" i="46" l="1"/>
  <c r="L167" i="44"/>
  <c r="Y118" i="44"/>
  <c r="W121" i="44"/>
  <c r="S121" i="44"/>
  <c r="AF57" i="44"/>
  <c r="M52" i="44"/>
  <c r="V55" i="44"/>
  <c r="O56" i="44"/>
  <c r="T54" i="44"/>
  <c r="I62" i="44"/>
  <c r="K48" i="44" s="1"/>
  <c r="BW20" i="43"/>
  <c r="BR20" i="43"/>
  <c r="AD14" i="43"/>
  <c r="AS14" i="43"/>
  <c r="BU25" i="43" s="1"/>
  <c r="AS7" i="43"/>
  <c r="AD7" i="43"/>
  <c r="L7" i="43"/>
  <c r="H64" i="44" l="1"/>
  <c r="T62" i="44" s="1"/>
  <c r="AC14" i="41"/>
  <c r="Z18" i="41"/>
  <c r="X18" i="41"/>
  <c r="V18" i="41"/>
  <c r="O17" i="41"/>
  <c r="Q19" i="41"/>
  <c r="L17" i="41"/>
  <c r="O33" i="39"/>
  <c r="P34" i="39" s="1"/>
  <c r="F60" i="39"/>
  <c r="F56" i="39"/>
  <c r="F52" i="39"/>
  <c r="G19" i="39"/>
  <c r="F63" i="39" s="1"/>
  <c r="W19" i="41" l="1"/>
  <c r="AA21" i="41" s="1"/>
  <c r="AG27" i="36"/>
  <c r="AL30" i="36" s="1"/>
  <c r="O25" i="36"/>
  <c r="AP28" i="36"/>
  <c r="AC28" i="36"/>
  <c r="AC4" i="36"/>
  <c r="AJ34" i="36" s="1"/>
  <c r="AG21" i="35"/>
  <c r="AJ28" i="35" s="1"/>
  <c r="AL30" i="35" s="1"/>
  <c r="W26" i="35"/>
  <c r="Y9" i="35"/>
  <c r="Z28" i="35"/>
  <c r="Z4" i="35"/>
  <c r="AP28" i="35"/>
  <c r="P31" i="33"/>
  <c r="Q32" i="33" s="1"/>
  <c r="M31" i="33"/>
  <c r="N32" i="33" s="1"/>
  <c r="O34" i="33" s="1"/>
  <c r="AD2" i="34"/>
  <c r="AE2" i="34"/>
  <c r="AF2" i="34"/>
  <c r="AG2" i="34"/>
  <c r="AH2" i="34"/>
  <c r="AI2" i="34"/>
  <c r="AJ2" i="34"/>
  <c r="AK2" i="34"/>
  <c r="AL2" i="34"/>
  <c r="AM2" i="34"/>
  <c r="AN2" i="34"/>
  <c r="AO2" i="34"/>
  <c r="AP2" i="34"/>
  <c r="AQ2" i="34"/>
  <c r="AR2" i="34"/>
  <c r="AS2" i="34"/>
  <c r="AT2" i="34"/>
  <c r="AU2" i="34"/>
  <c r="AV2" i="34"/>
  <c r="AW2" i="34"/>
  <c r="AX2" i="34"/>
  <c r="AY2" i="34"/>
  <c r="AZ2" i="34"/>
  <c r="BA2" i="34"/>
  <c r="BB2" i="34"/>
  <c r="BC2" i="34"/>
  <c r="BD2" i="34"/>
  <c r="BE2" i="34"/>
  <c r="AD3" i="34"/>
  <c r="AE3" i="34"/>
  <c r="AF3" i="34"/>
  <c r="AG3" i="34"/>
  <c r="AH3" i="34"/>
  <c r="AI3" i="34"/>
  <c r="AJ3" i="34"/>
  <c r="AK3" i="34"/>
  <c r="AL3" i="34"/>
  <c r="AM3" i="34"/>
  <c r="AN3" i="34"/>
  <c r="AO3" i="34"/>
  <c r="AP3" i="34"/>
  <c r="AQ3" i="34"/>
  <c r="AR3" i="34"/>
  <c r="AS3" i="34"/>
  <c r="AT3" i="34"/>
  <c r="AU3" i="34"/>
  <c r="AV3" i="34"/>
  <c r="AW3" i="34"/>
  <c r="AX3" i="34"/>
  <c r="AY3" i="34"/>
  <c r="AZ3" i="34"/>
  <c r="BA3" i="34"/>
  <c r="BB3" i="34"/>
  <c r="BC3" i="34"/>
  <c r="BD3" i="34"/>
  <c r="BE3" i="34"/>
  <c r="AD4" i="34"/>
  <c r="AE4" i="34"/>
  <c r="AF4" i="34"/>
  <c r="AG4" i="34"/>
  <c r="AH4" i="34"/>
  <c r="AI4" i="34"/>
  <c r="AJ4" i="34"/>
  <c r="AK4" i="34"/>
  <c r="AL4" i="34"/>
  <c r="AM4" i="34"/>
  <c r="AN4" i="34"/>
  <c r="AO4" i="34"/>
  <c r="AP4" i="34"/>
  <c r="AQ4" i="34"/>
  <c r="AR4" i="34"/>
  <c r="AS4" i="34"/>
  <c r="AT4" i="34"/>
  <c r="AU4" i="34"/>
  <c r="AV4" i="34"/>
  <c r="AW4" i="34"/>
  <c r="AX4" i="34"/>
  <c r="AY4" i="34"/>
  <c r="AZ4" i="34"/>
  <c r="BA4" i="34"/>
  <c r="BB4" i="34"/>
  <c r="BC4" i="34"/>
  <c r="BD4" i="34"/>
  <c r="BE4" i="34"/>
  <c r="AD5" i="34"/>
  <c r="AE5" i="34"/>
  <c r="AF5" i="34"/>
  <c r="AG5" i="34"/>
  <c r="AH5" i="34"/>
  <c r="AI5" i="34"/>
  <c r="AJ5" i="34"/>
  <c r="AK5" i="34"/>
  <c r="AL5" i="34"/>
  <c r="AM5" i="34"/>
  <c r="AN5" i="34"/>
  <c r="AO5" i="34"/>
  <c r="AP5" i="34"/>
  <c r="AQ5" i="34"/>
  <c r="AR5" i="34"/>
  <c r="AS5" i="34"/>
  <c r="AT5" i="34"/>
  <c r="AU5" i="34"/>
  <c r="AV5" i="34"/>
  <c r="AW5" i="34"/>
  <c r="AX5" i="34"/>
  <c r="AY5" i="34"/>
  <c r="AZ5" i="34"/>
  <c r="BA5" i="34"/>
  <c r="BB5" i="34"/>
  <c r="BC5" i="34"/>
  <c r="BD5" i="34"/>
  <c r="BE5" i="34"/>
  <c r="AD6" i="34"/>
  <c r="AE6" i="34"/>
  <c r="AF6" i="34"/>
  <c r="AG6" i="34"/>
  <c r="AH6" i="34"/>
  <c r="AI6" i="34"/>
  <c r="AJ6" i="34"/>
  <c r="AK6" i="34"/>
  <c r="AL6" i="34"/>
  <c r="AM6" i="34"/>
  <c r="AN6" i="34"/>
  <c r="AO6" i="34"/>
  <c r="AP6" i="34"/>
  <c r="AQ6" i="34"/>
  <c r="AR6" i="34"/>
  <c r="AS6" i="34"/>
  <c r="AT6" i="34"/>
  <c r="AU6" i="34"/>
  <c r="AV6" i="34"/>
  <c r="AW6" i="34"/>
  <c r="AX6" i="34"/>
  <c r="AY6" i="34"/>
  <c r="AZ6" i="34"/>
  <c r="BA6" i="34"/>
  <c r="BB6" i="34"/>
  <c r="BC6" i="34"/>
  <c r="BD6" i="34"/>
  <c r="BE6" i="34"/>
  <c r="AD7" i="34"/>
  <c r="AE7" i="34"/>
  <c r="AF7" i="34"/>
  <c r="AG7" i="34"/>
  <c r="AH7" i="34"/>
  <c r="AI7" i="34"/>
  <c r="AJ7" i="34"/>
  <c r="AK7" i="34"/>
  <c r="AL7" i="34"/>
  <c r="AM7" i="34"/>
  <c r="AN7" i="34"/>
  <c r="AO7" i="34"/>
  <c r="AP7" i="34"/>
  <c r="AQ7" i="34"/>
  <c r="AR7" i="34"/>
  <c r="AS7" i="34"/>
  <c r="AT7" i="34"/>
  <c r="AU7" i="34"/>
  <c r="AV7" i="34"/>
  <c r="AW7" i="34"/>
  <c r="AX7" i="34"/>
  <c r="AY7" i="34"/>
  <c r="AZ7" i="34"/>
  <c r="BA7" i="34"/>
  <c r="BB7" i="34"/>
  <c r="BC7" i="34"/>
  <c r="BD7" i="34"/>
  <c r="BE7" i="34"/>
  <c r="AD8" i="34"/>
  <c r="AE8" i="34"/>
  <c r="AF8" i="34"/>
  <c r="AG8" i="34"/>
  <c r="AH8" i="34"/>
  <c r="AI8" i="34"/>
  <c r="AJ8" i="34"/>
  <c r="AK8" i="34"/>
  <c r="AL8" i="34"/>
  <c r="AM8" i="34"/>
  <c r="AN8" i="34"/>
  <c r="AO8" i="34"/>
  <c r="AP8" i="34"/>
  <c r="AQ8" i="34"/>
  <c r="AR8" i="34"/>
  <c r="AS8" i="34"/>
  <c r="AT8" i="34"/>
  <c r="AU8" i="34"/>
  <c r="AV8" i="34"/>
  <c r="AW8" i="34"/>
  <c r="AX8" i="34"/>
  <c r="AY8" i="34"/>
  <c r="AZ8" i="34"/>
  <c r="BA8" i="34"/>
  <c r="BB8" i="34"/>
  <c r="BC8" i="34"/>
  <c r="BD8" i="34"/>
  <c r="BE8" i="34"/>
  <c r="AD9" i="34"/>
  <c r="AE9" i="34"/>
  <c r="AF9" i="34"/>
  <c r="AG9" i="34"/>
  <c r="AH9" i="34"/>
  <c r="AI9" i="34"/>
  <c r="AJ9" i="34"/>
  <c r="AK9" i="34"/>
  <c r="AL9" i="34"/>
  <c r="AM9" i="34"/>
  <c r="AN9" i="34"/>
  <c r="AO9" i="34"/>
  <c r="AP9" i="34"/>
  <c r="AQ9" i="34"/>
  <c r="AR9" i="34"/>
  <c r="AS9" i="34"/>
  <c r="AT9" i="34"/>
  <c r="AU9" i="34"/>
  <c r="AV9" i="34"/>
  <c r="AW9" i="34"/>
  <c r="AX9" i="34"/>
  <c r="AY9" i="34"/>
  <c r="AZ9" i="34"/>
  <c r="BA9" i="34"/>
  <c r="BB9" i="34"/>
  <c r="BC9" i="34"/>
  <c r="BD9" i="34"/>
  <c r="BE9" i="34"/>
  <c r="AD10" i="34"/>
  <c r="AE10" i="34"/>
  <c r="AF10" i="34"/>
  <c r="AG10" i="34"/>
  <c r="AH10" i="34"/>
  <c r="AI10" i="34"/>
  <c r="AJ10" i="34"/>
  <c r="AK10" i="34"/>
  <c r="AL10" i="34"/>
  <c r="AM10" i="34"/>
  <c r="AN10" i="34"/>
  <c r="AO10" i="34"/>
  <c r="AP10" i="34"/>
  <c r="AQ10" i="34"/>
  <c r="AR10" i="34"/>
  <c r="AS10" i="34"/>
  <c r="AT10" i="34"/>
  <c r="AU10" i="34"/>
  <c r="AV10" i="34"/>
  <c r="AW10" i="34"/>
  <c r="AX10" i="34"/>
  <c r="AY10" i="34"/>
  <c r="AZ10" i="34"/>
  <c r="BA10" i="34"/>
  <c r="BB10" i="34"/>
  <c r="BC10" i="34"/>
  <c r="BD10" i="34"/>
  <c r="BE10" i="34"/>
  <c r="AD11" i="34"/>
  <c r="AE11" i="34"/>
  <c r="AF11" i="34"/>
  <c r="AG11" i="34"/>
  <c r="AH11" i="34"/>
  <c r="AI11" i="34"/>
  <c r="AJ11" i="34"/>
  <c r="AK11" i="34"/>
  <c r="AL11" i="34"/>
  <c r="AM11" i="34"/>
  <c r="AN11" i="34"/>
  <c r="AO11" i="34"/>
  <c r="AP11" i="34"/>
  <c r="AQ11" i="34"/>
  <c r="AR11" i="34"/>
  <c r="AS11" i="34"/>
  <c r="AT11" i="34"/>
  <c r="AU11" i="34"/>
  <c r="AV11" i="34"/>
  <c r="AW11" i="34"/>
  <c r="AX11" i="34"/>
  <c r="AY11" i="34"/>
  <c r="AZ11" i="34"/>
  <c r="BA11" i="34"/>
  <c r="BB11" i="34"/>
  <c r="BC11" i="34"/>
  <c r="BD11" i="34"/>
  <c r="BE11" i="34"/>
  <c r="AD12" i="34"/>
  <c r="AE12" i="34"/>
  <c r="AF12" i="34"/>
  <c r="AG12" i="34"/>
  <c r="AH12" i="34"/>
  <c r="AI12" i="34"/>
  <c r="AJ12" i="34"/>
  <c r="AK12" i="34"/>
  <c r="AL12" i="34"/>
  <c r="AM12" i="34"/>
  <c r="AN12" i="34"/>
  <c r="AO12" i="34"/>
  <c r="AP12" i="34"/>
  <c r="AQ12" i="34"/>
  <c r="AR12" i="34"/>
  <c r="AS12" i="34"/>
  <c r="AT12" i="34"/>
  <c r="AU12" i="34"/>
  <c r="AV12" i="34"/>
  <c r="AW12" i="34"/>
  <c r="AX12" i="34"/>
  <c r="AY12" i="34"/>
  <c r="AZ12" i="34"/>
  <c r="BA12" i="34"/>
  <c r="BB12" i="34"/>
  <c r="BC12" i="34"/>
  <c r="BD12" i="34"/>
  <c r="BE12" i="34"/>
  <c r="AD13" i="34"/>
  <c r="AE13" i="34"/>
  <c r="AF13" i="34"/>
  <c r="AG13" i="34"/>
  <c r="AH13" i="34"/>
  <c r="AI13" i="34"/>
  <c r="AJ13" i="34"/>
  <c r="AK13" i="34"/>
  <c r="AL13" i="34"/>
  <c r="AM13" i="34"/>
  <c r="AN13" i="34"/>
  <c r="AO13" i="34"/>
  <c r="AP13" i="34"/>
  <c r="AQ13" i="34"/>
  <c r="AR13" i="34"/>
  <c r="AS13" i="34"/>
  <c r="AT13" i="34"/>
  <c r="AU13" i="34"/>
  <c r="AV13" i="34"/>
  <c r="AW13" i="34"/>
  <c r="AX13" i="34"/>
  <c r="AY13" i="34"/>
  <c r="AZ13" i="34"/>
  <c r="BA13" i="34"/>
  <c r="BB13" i="34"/>
  <c r="BC13" i="34"/>
  <c r="BD13" i="34"/>
  <c r="BE13" i="34"/>
  <c r="AD14" i="34"/>
  <c r="AE14" i="34"/>
  <c r="AF14" i="34"/>
  <c r="AG14" i="34"/>
  <c r="AH14" i="34"/>
  <c r="AI14" i="34"/>
  <c r="AJ14" i="34"/>
  <c r="AK14" i="34"/>
  <c r="AL14" i="34"/>
  <c r="AM14" i="34"/>
  <c r="AN14" i="34"/>
  <c r="AO14" i="34"/>
  <c r="AP14" i="34"/>
  <c r="AQ14" i="34"/>
  <c r="AR14" i="34"/>
  <c r="AS14" i="34"/>
  <c r="AT14" i="34"/>
  <c r="AU14" i="34"/>
  <c r="AV14" i="34"/>
  <c r="AW14" i="34"/>
  <c r="AX14" i="34"/>
  <c r="AY14" i="34"/>
  <c r="AZ14" i="34"/>
  <c r="BA14" i="34"/>
  <c r="BB14" i="34"/>
  <c r="BC14" i="34"/>
  <c r="BD14" i="34"/>
  <c r="BE14" i="34"/>
  <c r="AD15" i="34"/>
  <c r="AE15" i="34"/>
  <c r="AF15" i="34"/>
  <c r="AG15" i="34"/>
  <c r="AH15" i="34"/>
  <c r="AI15" i="34"/>
  <c r="AJ15" i="34"/>
  <c r="AK15" i="34"/>
  <c r="AL15" i="34"/>
  <c r="AM15" i="34"/>
  <c r="AN15" i="34"/>
  <c r="AO15" i="34"/>
  <c r="AP15" i="34"/>
  <c r="AQ15" i="34"/>
  <c r="AR15" i="34"/>
  <c r="AS15" i="34"/>
  <c r="AT15" i="34"/>
  <c r="AU15" i="34"/>
  <c r="AV15" i="34"/>
  <c r="AW15" i="34"/>
  <c r="AX15" i="34"/>
  <c r="AY15" i="34"/>
  <c r="AZ15" i="34"/>
  <c r="BA15" i="34"/>
  <c r="BB15" i="34"/>
  <c r="BC15" i="34"/>
  <c r="BD15" i="34"/>
  <c r="BE15" i="34"/>
  <c r="AD16" i="34"/>
  <c r="AE16" i="34"/>
  <c r="AF16" i="34"/>
  <c r="AG16" i="34"/>
  <c r="AH16" i="34"/>
  <c r="AI16" i="34"/>
  <c r="AJ16" i="34"/>
  <c r="AK16" i="34"/>
  <c r="AL16" i="34"/>
  <c r="AM16" i="34"/>
  <c r="AN16" i="34"/>
  <c r="AO16" i="34"/>
  <c r="AP16" i="34"/>
  <c r="AQ16" i="34"/>
  <c r="AR16" i="34"/>
  <c r="AS16" i="34"/>
  <c r="AT16" i="34"/>
  <c r="AU16" i="34"/>
  <c r="AV16" i="34"/>
  <c r="AW16" i="34"/>
  <c r="AX16" i="34"/>
  <c r="AY16" i="34"/>
  <c r="AZ16" i="34"/>
  <c r="BA16" i="34"/>
  <c r="BB16" i="34"/>
  <c r="BC16" i="34"/>
  <c r="BD16" i="34"/>
  <c r="BE16" i="34"/>
  <c r="AD17" i="34"/>
  <c r="AE17" i="34"/>
  <c r="AF17" i="34"/>
  <c r="AG17" i="34"/>
  <c r="AH17" i="34"/>
  <c r="AI17" i="34"/>
  <c r="AJ17" i="34"/>
  <c r="AK17" i="34"/>
  <c r="AL17" i="34"/>
  <c r="AM17" i="34"/>
  <c r="AN17" i="34"/>
  <c r="AO17" i="34"/>
  <c r="AP17" i="34"/>
  <c r="AQ17" i="34"/>
  <c r="AR17" i="34"/>
  <c r="AS17" i="34"/>
  <c r="AT17" i="34"/>
  <c r="AU17" i="34"/>
  <c r="AV17" i="34"/>
  <c r="AW17" i="34"/>
  <c r="AX17" i="34"/>
  <c r="AY17" i="34"/>
  <c r="AZ17" i="34"/>
  <c r="BA17" i="34"/>
  <c r="BB17" i="34"/>
  <c r="BC17" i="34"/>
  <c r="BD17" i="34"/>
  <c r="BE17" i="34"/>
  <c r="AD18" i="34"/>
  <c r="AE18" i="34"/>
  <c r="AF18" i="34"/>
  <c r="AG18" i="34"/>
  <c r="AH18" i="34"/>
  <c r="AI18" i="34"/>
  <c r="AJ18" i="34"/>
  <c r="AK18" i="34"/>
  <c r="AL18" i="34"/>
  <c r="AM18" i="34"/>
  <c r="AN18" i="34"/>
  <c r="AO18" i="34"/>
  <c r="AP18" i="34"/>
  <c r="AQ18" i="34"/>
  <c r="AR18" i="34"/>
  <c r="AS18" i="34"/>
  <c r="AT18" i="34"/>
  <c r="AU18" i="34"/>
  <c r="AV18" i="34"/>
  <c r="AW18" i="34"/>
  <c r="AX18" i="34"/>
  <c r="AY18" i="34"/>
  <c r="AZ18" i="34"/>
  <c r="BA18" i="34"/>
  <c r="BB18" i="34"/>
  <c r="BC18" i="34"/>
  <c r="BD18" i="34"/>
  <c r="BE18" i="34"/>
  <c r="AD19" i="34"/>
  <c r="AE19" i="34"/>
  <c r="AF19" i="34"/>
  <c r="AG19" i="34"/>
  <c r="AH19" i="34"/>
  <c r="AI19" i="34"/>
  <c r="AJ19" i="34"/>
  <c r="AK19" i="34"/>
  <c r="AL19" i="34"/>
  <c r="AM19" i="34"/>
  <c r="AN19" i="34"/>
  <c r="AO19" i="34"/>
  <c r="AP19" i="34"/>
  <c r="AQ19" i="34"/>
  <c r="AR19" i="34"/>
  <c r="AS19" i="34"/>
  <c r="AT19" i="34"/>
  <c r="AU19" i="34"/>
  <c r="AV19" i="34"/>
  <c r="AW19" i="34"/>
  <c r="AX19" i="34"/>
  <c r="AY19" i="34"/>
  <c r="AZ19" i="34"/>
  <c r="BA19" i="34"/>
  <c r="BB19" i="34"/>
  <c r="BC19" i="34"/>
  <c r="BD19" i="34"/>
  <c r="BE19" i="34"/>
  <c r="AD20" i="34"/>
  <c r="AE20" i="34"/>
  <c r="AF20" i="34"/>
  <c r="AG20" i="34"/>
  <c r="AH20" i="34"/>
  <c r="AI20" i="34"/>
  <c r="AJ20" i="34"/>
  <c r="AK20" i="34"/>
  <c r="AL20" i="34"/>
  <c r="AM20" i="34"/>
  <c r="AN20" i="34"/>
  <c r="AO20" i="34"/>
  <c r="AP20" i="34"/>
  <c r="AQ20" i="34"/>
  <c r="AR20" i="34"/>
  <c r="AS20" i="34"/>
  <c r="AT20" i="34"/>
  <c r="AU20" i="34"/>
  <c r="AV20" i="34"/>
  <c r="AW20" i="34"/>
  <c r="AX20" i="34"/>
  <c r="AY20" i="34"/>
  <c r="AZ20" i="34"/>
  <c r="BA20" i="34"/>
  <c r="BB20" i="34"/>
  <c r="BC20" i="34"/>
  <c r="BD20" i="34"/>
  <c r="BE20" i="34"/>
  <c r="AD21" i="34"/>
  <c r="AE21" i="34"/>
  <c r="AF21" i="34"/>
  <c r="AG21" i="34"/>
  <c r="AH21" i="34"/>
  <c r="AI21" i="34"/>
  <c r="AJ21" i="34"/>
  <c r="AK21" i="34"/>
  <c r="AL21" i="34"/>
  <c r="AM21" i="34"/>
  <c r="AN21" i="34"/>
  <c r="AO21" i="34"/>
  <c r="AP21" i="34"/>
  <c r="AQ21" i="34"/>
  <c r="AR21" i="34"/>
  <c r="AS21" i="34"/>
  <c r="AT21" i="34"/>
  <c r="AU21" i="34"/>
  <c r="AV21" i="34"/>
  <c r="AW21" i="34"/>
  <c r="AX21" i="34"/>
  <c r="AY21" i="34"/>
  <c r="AZ21" i="34"/>
  <c r="BA21" i="34"/>
  <c r="BB21" i="34"/>
  <c r="BC21" i="34"/>
  <c r="BD21" i="34"/>
  <c r="BE21" i="34"/>
  <c r="AD22" i="34"/>
  <c r="AE22" i="34"/>
  <c r="AF22" i="34"/>
  <c r="AG22" i="34"/>
  <c r="AH22" i="34"/>
  <c r="AI22" i="34"/>
  <c r="AJ22" i="34"/>
  <c r="AK22" i="34"/>
  <c r="AL22" i="34"/>
  <c r="AM22" i="34"/>
  <c r="AN22" i="34"/>
  <c r="AO22" i="34"/>
  <c r="AP22" i="34"/>
  <c r="AQ22" i="34"/>
  <c r="AR22" i="34"/>
  <c r="AS22" i="34"/>
  <c r="AT22" i="34"/>
  <c r="AU22" i="34"/>
  <c r="AV22" i="34"/>
  <c r="AW22" i="34"/>
  <c r="AX22" i="34"/>
  <c r="AY22" i="34"/>
  <c r="AZ22" i="34"/>
  <c r="BA22" i="34"/>
  <c r="BB22" i="34"/>
  <c r="BC22" i="34"/>
  <c r="BD22" i="34"/>
  <c r="BE22" i="34"/>
  <c r="AD23" i="34"/>
  <c r="AE23" i="34"/>
  <c r="AF23" i="34"/>
  <c r="AG23" i="34"/>
  <c r="AH23" i="34"/>
  <c r="AI23" i="34"/>
  <c r="AJ23" i="34"/>
  <c r="AK23" i="34"/>
  <c r="AL23" i="34"/>
  <c r="AM23" i="34"/>
  <c r="AN23" i="34"/>
  <c r="AO23" i="34"/>
  <c r="AP23" i="34"/>
  <c r="AQ23" i="34"/>
  <c r="AR23" i="34"/>
  <c r="AS23" i="34"/>
  <c r="AT23" i="34"/>
  <c r="AU23" i="34"/>
  <c r="AV23" i="34"/>
  <c r="AW23" i="34"/>
  <c r="AX23" i="34"/>
  <c r="AY23" i="34"/>
  <c r="AZ23" i="34"/>
  <c r="BA23" i="34"/>
  <c r="BB23" i="34"/>
  <c r="BC23" i="34"/>
  <c r="BD23" i="34"/>
  <c r="BE23" i="34"/>
  <c r="AD24" i="34"/>
  <c r="AE24" i="34"/>
  <c r="AF24" i="34"/>
  <c r="AG24" i="34"/>
  <c r="AH24" i="34"/>
  <c r="AI24" i="34"/>
  <c r="AJ24" i="34"/>
  <c r="AK24" i="34"/>
  <c r="AL24" i="34"/>
  <c r="AM24" i="34"/>
  <c r="AN24" i="34"/>
  <c r="AO24" i="34"/>
  <c r="AP24" i="34"/>
  <c r="AQ24" i="34"/>
  <c r="AR24" i="34"/>
  <c r="AS24" i="34"/>
  <c r="AT24" i="34"/>
  <c r="AU24" i="34"/>
  <c r="AV24" i="34"/>
  <c r="AW24" i="34"/>
  <c r="AX24" i="34"/>
  <c r="AY24" i="34"/>
  <c r="AZ24" i="34"/>
  <c r="BA24" i="34"/>
  <c r="BB24" i="34"/>
  <c r="BC24" i="34"/>
  <c r="BD24" i="34"/>
  <c r="BE24" i="34"/>
  <c r="AD25" i="34"/>
  <c r="AE25" i="34"/>
  <c r="AF25" i="34"/>
  <c r="AG25" i="34"/>
  <c r="AH25" i="34"/>
  <c r="AI25" i="34"/>
  <c r="AJ25" i="34"/>
  <c r="AK25" i="34"/>
  <c r="AL25" i="34"/>
  <c r="AM25" i="34"/>
  <c r="AN25" i="34"/>
  <c r="AO25" i="34"/>
  <c r="AP25" i="34"/>
  <c r="AQ25" i="34"/>
  <c r="AR25" i="34"/>
  <c r="AS25" i="34"/>
  <c r="AT25" i="34"/>
  <c r="AU25" i="34"/>
  <c r="AV25" i="34"/>
  <c r="AW25" i="34"/>
  <c r="AX25" i="34"/>
  <c r="AY25" i="34"/>
  <c r="AZ25" i="34"/>
  <c r="BA25" i="34"/>
  <c r="BB25" i="34"/>
  <c r="BC25" i="34"/>
  <c r="BD25" i="34"/>
  <c r="BE25" i="34"/>
  <c r="AD26" i="34"/>
  <c r="AE26" i="34"/>
  <c r="AF26" i="34"/>
  <c r="AG26" i="34"/>
  <c r="AH26" i="34"/>
  <c r="AI26" i="34"/>
  <c r="AJ26" i="34"/>
  <c r="AK26" i="34"/>
  <c r="AL26" i="34"/>
  <c r="AM26" i="34"/>
  <c r="AN26" i="34"/>
  <c r="AO26" i="34"/>
  <c r="AP26" i="34"/>
  <c r="AQ26" i="34"/>
  <c r="AR26" i="34"/>
  <c r="AS26" i="34"/>
  <c r="AT26" i="34"/>
  <c r="AU26" i="34"/>
  <c r="AV26" i="34"/>
  <c r="AW26" i="34"/>
  <c r="AX26" i="34"/>
  <c r="AY26" i="34"/>
  <c r="AZ26" i="34"/>
  <c r="BA26" i="34"/>
  <c r="BB26" i="34"/>
  <c r="BC26" i="34"/>
  <c r="BD26" i="34"/>
  <c r="BE26" i="34"/>
  <c r="AD27" i="34"/>
  <c r="AE27" i="34"/>
  <c r="AF27" i="34"/>
  <c r="AG27" i="34"/>
  <c r="AH27" i="34"/>
  <c r="AI27" i="34"/>
  <c r="AJ27" i="34"/>
  <c r="AK27" i="34"/>
  <c r="AL27" i="34"/>
  <c r="AM27" i="34"/>
  <c r="AN27" i="34"/>
  <c r="AO27" i="34"/>
  <c r="AP27" i="34"/>
  <c r="AQ27" i="34"/>
  <c r="AR27" i="34"/>
  <c r="AS27" i="34"/>
  <c r="AT27" i="34"/>
  <c r="AU27" i="34"/>
  <c r="AV27" i="34"/>
  <c r="AW27" i="34"/>
  <c r="AX27" i="34"/>
  <c r="AY27" i="34"/>
  <c r="AZ27" i="34"/>
  <c r="BA27" i="34"/>
  <c r="BB27" i="34"/>
  <c r="BC27" i="34"/>
  <c r="BD27" i="34"/>
  <c r="BE27" i="34"/>
  <c r="AD28" i="34"/>
  <c r="AE28" i="34"/>
  <c r="AF28" i="34"/>
  <c r="AG28" i="34"/>
  <c r="AH28" i="34"/>
  <c r="AI28" i="34"/>
  <c r="AJ28" i="34"/>
  <c r="AK28" i="34"/>
  <c r="AL28" i="34"/>
  <c r="AM28" i="34"/>
  <c r="AN28" i="34"/>
  <c r="AO28" i="34"/>
  <c r="AP28" i="34"/>
  <c r="AQ28" i="34"/>
  <c r="AR28" i="34"/>
  <c r="AS28" i="34"/>
  <c r="AT28" i="34"/>
  <c r="AU28" i="34"/>
  <c r="AV28" i="34"/>
  <c r="AW28" i="34"/>
  <c r="AX28" i="34"/>
  <c r="AY28" i="34"/>
  <c r="AZ28" i="34"/>
  <c r="BA28" i="34"/>
  <c r="BB28" i="34"/>
  <c r="BC28" i="34"/>
  <c r="BD28" i="34"/>
  <c r="BE28" i="34"/>
  <c r="AE1" i="34"/>
  <c r="AF1" i="34"/>
  <c r="AG1" i="34"/>
  <c r="AH1" i="34"/>
  <c r="AI1" i="34"/>
  <c r="AJ1" i="34"/>
  <c r="AK1" i="34"/>
  <c r="AL1" i="34"/>
  <c r="AM1" i="34"/>
  <c r="AN1" i="34"/>
  <c r="AO1" i="34"/>
  <c r="AP1" i="34"/>
  <c r="AQ1" i="34"/>
  <c r="AR1" i="34"/>
  <c r="AS1" i="34"/>
  <c r="AT1" i="34"/>
  <c r="AU1" i="34"/>
  <c r="AV1" i="34"/>
  <c r="AW1" i="34"/>
  <c r="AX1" i="34"/>
  <c r="AY1" i="34"/>
  <c r="AZ1" i="34"/>
  <c r="BA1" i="34"/>
  <c r="BB1" i="34"/>
  <c r="BC1" i="34"/>
  <c r="BD1" i="34"/>
  <c r="BE1" i="34"/>
  <c r="AD1" i="34"/>
  <c r="U103" i="32"/>
  <c r="V103" i="32"/>
  <c r="W103" i="32"/>
  <c r="U104" i="32"/>
  <c r="V104" i="32"/>
  <c r="W104" i="32"/>
  <c r="V102" i="32"/>
  <c r="W102" i="32"/>
  <c r="U102" i="32"/>
  <c r="V83" i="32"/>
  <c r="W83" i="32"/>
  <c r="T84" i="32"/>
  <c r="U84" i="32"/>
  <c r="T86" i="32"/>
  <c r="U86" i="32"/>
  <c r="S81" i="32"/>
  <c r="W75" i="32"/>
  <c r="W86" i="32" s="1"/>
  <c r="V75" i="32"/>
  <c r="V86" i="32" s="1"/>
  <c r="U75" i="32"/>
  <c r="T75" i="32"/>
  <c r="S75" i="32"/>
  <c r="S86" i="32" s="1"/>
  <c r="R75" i="32"/>
  <c r="R86" i="32" s="1"/>
  <c r="W74" i="32"/>
  <c r="W85" i="32" s="1"/>
  <c r="V74" i="32"/>
  <c r="V85" i="32" s="1"/>
  <c r="U74" i="32"/>
  <c r="U85" i="32" s="1"/>
  <c r="T74" i="32"/>
  <c r="T85" i="32" s="1"/>
  <c r="S74" i="32"/>
  <c r="S85" i="32" s="1"/>
  <c r="R74" i="32"/>
  <c r="R85" i="32" s="1"/>
  <c r="W73" i="32"/>
  <c r="W84" i="32" s="1"/>
  <c r="V73" i="32"/>
  <c r="V84" i="32" s="1"/>
  <c r="U73" i="32"/>
  <c r="T73" i="32"/>
  <c r="S73" i="32"/>
  <c r="S84" i="32" s="1"/>
  <c r="R73" i="32"/>
  <c r="R84" i="32" s="1"/>
  <c r="W72" i="32"/>
  <c r="V72" i="32"/>
  <c r="U72" i="32"/>
  <c r="U83" i="32" s="1"/>
  <c r="T72" i="32"/>
  <c r="T83" i="32" s="1"/>
  <c r="S72" i="32"/>
  <c r="S83" i="32" s="1"/>
  <c r="R72" i="32"/>
  <c r="R83" i="32" s="1"/>
  <c r="W71" i="32"/>
  <c r="W82" i="32" s="1"/>
  <c r="V71" i="32"/>
  <c r="V82" i="32" s="1"/>
  <c r="U71" i="32"/>
  <c r="U82" i="32" s="1"/>
  <c r="T71" i="32"/>
  <c r="T82" i="32" s="1"/>
  <c r="S71" i="32"/>
  <c r="S82" i="32" s="1"/>
  <c r="R71" i="32"/>
  <c r="R82" i="32" s="1"/>
  <c r="W70" i="32"/>
  <c r="W81" i="32" s="1"/>
  <c r="V70" i="32"/>
  <c r="V81" i="32" s="1"/>
  <c r="U70" i="32"/>
  <c r="U81" i="32" s="1"/>
  <c r="T70" i="32"/>
  <c r="T81" i="32" s="1"/>
  <c r="S70" i="32"/>
  <c r="R70" i="32"/>
  <c r="R81" i="32" s="1"/>
  <c r="Q55" i="32"/>
  <c r="R55" i="32"/>
  <c r="S55" i="32"/>
  <c r="T55" i="32"/>
  <c r="U55" i="32"/>
  <c r="V55" i="32"/>
  <c r="W55" i="32"/>
  <c r="X55" i="32"/>
  <c r="Q56" i="32"/>
  <c r="R56" i="32"/>
  <c r="S56" i="32"/>
  <c r="T56" i="32"/>
  <c r="U56" i="32"/>
  <c r="V56" i="32"/>
  <c r="W56" i="32"/>
  <c r="X56" i="32"/>
  <c r="Q57" i="32"/>
  <c r="R57" i="32"/>
  <c r="S57" i="32"/>
  <c r="T57" i="32"/>
  <c r="U57" i="32"/>
  <c r="V57" i="32"/>
  <c r="W57" i="32"/>
  <c r="X57" i="32"/>
  <c r="Q58" i="32"/>
  <c r="R58" i="32"/>
  <c r="S58" i="32"/>
  <c r="T58" i="32"/>
  <c r="U58" i="32"/>
  <c r="V58" i="32"/>
  <c r="W58" i="32"/>
  <c r="X58" i="32"/>
  <c r="Q59" i="32"/>
  <c r="R59" i="32"/>
  <c r="S59" i="32"/>
  <c r="T59" i="32"/>
  <c r="U59" i="32"/>
  <c r="V59" i="32"/>
  <c r="W59" i="32"/>
  <c r="X59" i="32"/>
  <c r="Q60" i="32"/>
  <c r="R60" i="32"/>
  <c r="S60" i="32"/>
  <c r="T60" i="32"/>
  <c r="U60" i="32"/>
  <c r="V60" i="32"/>
  <c r="W60" i="32"/>
  <c r="X60" i="32"/>
  <c r="Q61" i="32"/>
  <c r="R61" i="32"/>
  <c r="S61" i="32"/>
  <c r="T61" i="32"/>
  <c r="U61" i="32"/>
  <c r="V61" i="32"/>
  <c r="W61" i="32"/>
  <c r="X61" i="32"/>
  <c r="R54" i="32"/>
  <c r="S54" i="32"/>
  <c r="T54" i="32"/>
  <c r="U54" i="32"/>
  <c r="V54" i="32"/>
  <c r="W54" i="32"/>
  <c r="X54" i="32"/>
  <c r="Q54" i="32"/>
  <c r="E45" i="32"/>
  <c r="D45" i="32"/>
  <c r="I40" i="32"/>
  <c r="I45" i="32" s="1"/>
  <c r="H40" i="32"/>
  <c r="H45" i="32" s="1"/>
  <c r="G40" i="32"/>
  <c r="G45" i="32" s="1"/>
  <c r="F40" i="32"/>
  <c r="F45" i="32" s="1"/>
  <c r="E40" i="32"/>
  <c r="D40" i="32"/>
  <c r="C25" i="32"/>
  <c r="D25" i="32"/>
  <c r="E25" i="32"/>
  <c r="F25" i="32"/>
  <c r="G25" i="32"/>
  <c r="H25" i="32"/>
  <c r="I25" i="32"/>
  <c r="B25" i="32"/>
  <c r="D12" i="32"/>
  <c r="E12" i="32"/>
  <c r="F12" i="32"/>
  <c r="G12" i="32"/>
  <c r="H12" i="32"/>
  <c r="C12" i="32"/>
  <c r="AG32" i="35" l="1"/>
  <c r="P75" i="29"/>
  <c r="P76" i="29" s="1"/>
  <c r="N75" i="29"/>
  <c r="N76" i="29" s="1"/>
  <c r="N71" i="29"/>
  <c r="P26" i="29"/>
  <c r="Q26" i="29" s="1"/>
  <c r="R26" i="29" s="1"/>
  <c r="P25" i="29"/>
  <c r="Q25" i="29" s="1"/>
  <c r="R25" i="29" s="1"/>
  <c r="P24" i="29"/>
  <c r="Q24" i="29" s="1"/>
  <c r="R24" i="29" s="1"/>
  <c r="P23" i="29"/>
  <c r="Q23" i="29" s="1"/>
  <c r="R23" i="29" s="1"/>
  <c r="M84" i="29" l="1"/>
  <c r="P78" i="29"/>
  <c r="R27" i="29"/>
  <c r="U27" i="29" s="1"/>
  <c r="H38" i="24"/>
  <c r="D31" i="24"/>
  <c r="D30" i="24"/>
  <c r="N27" i="23" l="1"/>
  <c r="N29" i="23" s="1"/>
  <c r="L27" i="23"/>
  <c r="L29" i="23" s="1"/>
  <c r="J27" i="23"/>
  <c r="J29" i="23" s="1"/>
  <c r="G89" i="18"/>
  <c r="H89" i="18"/>
  <c r="F89" i="18"/>
  <c r="G83" i="18"/>
  <c r="H83" i="18"/>
  <c r="F83" i="18"/>
  <c r="G74" i="18"/>
  <c r="H74" i="18"/>
  <c r="G75" i="18"/>
  <c r="H75" i="18"/>
  <c r="F74" i="18"/>
  <c r="S15" i="23"/>
  <c r="Q18" i="23"/>
  <c r="L33" i="21"/>
  <c r="J31" i="21"/>
  <c r="M26" i="21"/>
  <c r="M28" i="21" s="1"/>
  <c r="K27" i="21"/>
  <c r="K26" i="21"/>
  <c r="I26" i="21"/>
  <c r="I28" i="21" s="1"/>
  <c r="F64" i="20"/>
  <c r="L27" i="20"/>
  <c r="L29" i="20" s="1"/>
  <c r="I28" i="20"/>
  <c r="I27" i="20"/>
  <c r="I29" i="20" s="1"/>
  <c r="M29" i="20" s="1"/>
  <c r="G31" i="20"/>
  <c r="H77" i="18" l="1"/>
  <c r="N31" i="23"/>
  <c r="G77" i="18"/>
  <c r="F92" i="18"/>
  <c r="H97" i="18" s="1"/>
  <c r="K28" i="21"/>
  <c r="O28" i="21" s="1"/>
  <c r="L36" i="21" s="1"/>
  <c r="L34" i="23"/>
  <c r="L37" i="23" s="1"/>
  <c r="F75" i="18"/>
  <c r="F77" i="18" s="1"/>
  <c r="H65" i="18"/>
  <c r="H64" i="18"/>
  <c r="H63" i="18"/>
  <c r="H62" i="18"/>
  <c r="H61" i="18"/>
  <c r="H60" i="18"/>
  <c r="H59" i="18"/>
  <c r="H58" i="18"/>
  <c r="H57" i="18"/>
  <c r="H56" i="18"/>
  <c r="H55" i="18"/>
  <c r="H54" i="18"/>
  <c r="H53" i="18"/>
  <c r="H52" i="18"/>
  <c r="H51" i="18"/>
  <c r="H50" i="18"/>
  <c r="H49" i="18"/>
  <c r="H48" i="18"/>
  <c r="H47" i="18"/>
  <c r="H46" i="18"/>
  <c r="H45" i="18"/>
  <c r="C46" i="18"/>
  <c r="C47" i="18"/>
  <c r="C48" i="18"/>
  <c r="C49" i="18"/>
  <c r="C50" i="18"/>
  <c r="C51" i="18"/>
  <c r="C52" i="18"/>
  <c r="C53" i="18"/>
  <c r="C54" i="18"/>
  <c r="C55" i="18"/>
  <c r="C56" i="18"/>
  <c r="C57" i="18"/>
  <c r="C58" i="18"/>
  <c r="C59" i="18"/>
  <c r="C60" i="18"/>
  <c r="C61" i="18"/>
  <c r="C62" i="18"/>
  <c r="C63" i="18"/>
  <c r="C64" i="18"/>
  <c r="C65" i="18"/>
  <c r="C45" i="18"/>
  <c r="C29" i="18"/>
  <c r="C30" i="18"/>
  <c r="C31" i="18"/>
  <c r="C32" i="18"/>
  <c r="C33" i="18"/>
  <c r="C34" i="18"/>
  <c r="C35" i="18"/>
  <c r="C36" i="18"/>
  <c r="C37" i="18"/>
  <c r="C38" i="18"/>
  <c r="C39" i="18"/>
  <c r="C40" i="18"/>
  <c r="C28" i="18"/>
  <c r="P20" i="17"/>
  <c r="Q20" i="17" s="1"/>
  <c r="R20" i="17" s="1"/>
  <c r="P21" i="17"/>
  <c r="Q21" i="17" s="1"/>
  <c r="R21" i="17" s="1"/>
  <c r="P22" i="17"/>
  <c r="Q22" i="17" s="1"/>
  <c r="R22" i="17" s="1"/>
  <c r="P19" i="17"/>
  <c r="Q19" i="17" s="1"/>
  <c r="R19" i="17" s="1"/>
  <c r="F125" i="11"/>
  <c r="F124" i="11"/>
  <c r="H123" i="11"/>
  <c r="F123" i="11"/>
  <c r="F122" i="11"/>
  <c r="F121" i="11"/>
  <c r="F120" i="11"/>
  <c r="G81" i="11"/>
  <c r="F81" i="11"/>
  <c r="E81" i="11"/>
  <c r="H88" i="11" s="1"/>
  <c r="D81" i="11"/>
  <c r="F88" i="11" s="1"/>
  <c r="J65" i="11"/>
  <c r="H71" i="11" s="1"/>
  <c r="I65" i="11"/>
  <c r="J64" i="11"/>
  <c r="I64" i="11"/>
  <c r="G73" i="11" s="1"/>
  <c r="H86" i="11" l="1"/>
  <c r="H87" i="11"/>
  <c r="G97" i="18"/>
  <c r="G71" i="11"/>
  <c r="H90" i="11"/>
  <c r="F97" i="18"/>
  <c r="G70" i="11"/>
  <c r="H89" i="11"/>
  <c r="F87" i="11"/>
  <c r="G72" i="11"/>
  <c r="H72" i="11"/>
  <c r="F86" i="11"/>
  <c r="H73" i="11"/>
  <c r="F90" i="11"/>
  <c r="H70" i="11"/>
  <c r="F89" i="11"/>
  <c r="P15" i="17"/>
  <c r="Q15" i="17" s="1"/>
  <c r="R15" i="17" s="1"/>
  <c r="U19" i="17" s="1"/>
  <c r="P13" i="17"/>
  <c r="Q13" i="17" s="1"/>
  <c r="R13" i="17" s="1"/>
  <c r="U17" i="17" s="1"/>
  <c r="P14" i="17"/>
  <c r="Q14" i="17" s="1"/>
  <c r="R14" i="17" s="1"/>
  <c r="U18" i="17" s="1"/>
  <c r="P12" i="17"/>
  <c r="Q12" i="17" s="1"/>
  <c r="R12" i="17" s="1"/>
  <c r="U16" i="17" s="1"/>
  <c r="P36" i="16"/>
  <c r="P37" i="16"/>
  <c r="Q37" i="16" s="1"/>
  <c r="P38" i="16"/>
  <c r="Q38" i="16" s="1"/>
  <c r="P39" i="16"/>
  <c r="Q36" i="16"/>
  <c r="Q39" i="16"/>
  <c r="P13" i="16"/>
  <c r="Q13" i="16" s="1"/>
  <c r="P14" i="16"/>
  <c r="Q14" i="16" s="1"/>
  <c r="P15" i="16"/>
  <c r="Q15" i="16" s="1"/>
  <c r="P12" i="16"/>
  <c r="Q12" i="16" s="1"/>
  <c r="V5" i="16"/>
  <c r="V6" i="16"/>
  <c r="V7" i="16"/>
  <c r="V8" i="16"/>
  <c r="V10" i="16"/>
  <c r="V11" i="16"/>
  <c r="V12" i="16"/>
  <c r="V13" i="16"/>
  <c r="V14" i="16"/>
  <c r="V4" i="16"/>
  <c r="C41" i="15" l="1"/>
  <c r="E41" i="15" s="1"/>
  <c r="C42" i="15"/>
  <c r="E42" i="15" s="1"/>
  <c r="C43" i="15"/>
  <c r="E43" i="15" s="1"/>
  <c r="C40" i="15"/>
  <c r="E40" i="15" s="1"/>
  <c r="C30" i="15"/>
  <c r="E30" i="15" s="1"/>
  <c r="C31" i="15"/>
  <c r="E31" i="15" s="1"/>
  <c r="C32" i="15"/>
  <c r="E32" i="15" s="1"/>
  <c r="C29" i="15"/>
  <c r="E29" i="15"/>
  <c r="B14" i="15"/>
  <c r="J9" i="15" s="1"/>
  <c r="B13" i="15"/>
  <c r="H10" i="15" s="1"/>
  <c r="R117" i="10"/>
  <c r="R118" i="10"/>
  <c r="R119" i="10"/>
  <c r="R120" i="10"/>
  <c r="R121" i="10"/>
  <c r="R122" i="10"/>
  <c r="R123" i="10"/>
  <c r="R124" i="10"/>
  <c r="R125" i="10"/>
  <c r="R126" i="10"/>
  <c r="R127" i="10"/>
  <c r="R128" i="10"/>
  <c r="R129" i="10"/>
  <c r="Q122" i="10"/>
  <c r="P114" i="10"/>
  <c r="Q114" i="10" s="1"/>
  <c r="P115" i="10"/>
  <c r="Q115" i="10" s="1"/>
  <c r="P116" i="10"/>
  <c r="Q116" i="10" s="1"/>
  <c r="P117" i="10"/>
  <c r="Q117" i="10" s="1"/>
  <c r="P118" i="10"/>
  <c r="Q118" i="10" s="1"/>
  <c r="P119" i="10"/>
  <c r="Q119" i="10" s="1"/>
  <c r="P120" i="10"/>
  <c r="Q120" i="10" s="1"/>
  <c r="P121" i="10"/>
  <c r="Q121" i="10" s="1"/>
  <c r="P122" i="10"/>
  <c r="P123" i="10"/>
  <c r="Q123" i="10" s="1"/>
  <c r="P124" i="10"/>
  <c r="Q124" i="10" s="1"/>
  <c r="P125" i="10"/>
  <c r="Q125" i="10" s="1"/>
  <c r="P126" i="10"/>
  <c r="P127" i="10"/>
  <c r="P128" i="10"/>
  <c r="P129" i="10"/>
  <c r="Q104" i="10"/>
  <c r="I10" i="15" l="1"/>
  <c r="H9" i="15"/>
  <c r="J8" i="15"/>
  <c r="J11" i="15"/>
  <c r="H8" i="15"/>
  <c r="H11" i="15"/>
  <c r="J10" i="15"/>
  <c r="K10" i="15" s="1"/>
  <c r="G40" i="15"/>
  <c r="F40" i="15"/>
  <c r="G41" i="15"/>
  <c r="F41" i="15"/>
  <c r="G42" i="15"/>
  <c r="F42" i="15"/>
  <c r="G43" i="15"/>
  <c r="F43" i="15"/>
  <c r="G31" i="15"/>
  <c r="F31" i="15"/>
  <c r="G32" i="15"/>
  <c r="F32" i="15"/>
  <c r="F29" i="15"/>
  <c r="G29" i="15"/>
  <c r="F30" i="15"/>
  <c r="G30" i="15"/>
  <c r="M26" i="13"/>
  <c r="H29" i="13"/>
  <c r="B25" i="13"/>
  <c r="B24" i="13"/>
  <c r="B22" i="13"/>
  <c r="B21" i="13"/>
  <c r="I26" i="13" s="1"/>
  <c r="H22" i="13"/>
  <c r="H21" i="13"/>
  <c r="I19" i="13"/>
  <c r="B19" i="13"/>
  <c r="E6" i="13" s="1"/>
  <c r="E3" i="13"/>
  <c r="E4" i="13"/>
  <c r="F4" i="13" s="1"/>
  <c r="C4" i="13"/>
  <c r="C5" i="13"/>
  <c r="B18" i="13"/>
  <c r="C7" i="13" s="1"/>
  <c r="L24" i="11"/>
  <c r="L25" i="11"/>
  <c r="L26" i="11"/>
  <c r="L23" i="11"/>
  <c r="N11" i="11"/>
  <c r="N10" i="11"/>
  <c r="N9" i="11"/>
  <c r="N8" i="11"/>
  <c r="N7" i="11"/>
  <c r="P7" i="11"/>
  <c r="S19" i="11"/>
  <c r="S23" i="11" s="1"/>
  <c r="R19" i="11"/>
  <c r="Q19" i="11"/>
  <c r="Q23" i="11" s="1"/>
  <c r="P19" i="11"/>
  <c r="P23" i="11" s="1"/>
  <c r="O19" i="11"/>
  <c r="O23" i="11" s="1"/>
  <c r="R23" i="11"/>
  <c r="N23" i="11"/>
  <c r="C3" i="13" l="1"/>
  <c r="F3" i="13" s="1"/>
  <c r="C6" i="13"/>
  <c r="F6" i="13" s="1"/>
  <c r="E5" i="13"/>
  <c r="F5" i="13" s="1"/>
  <c r="E16" i="13"/>
  <c r="C14" i="13"/>
  <c r="E13" i="13"/>
  <c r="E15" i="13"/>
  <c r="C15" i="13"/>
  <c r="I11" i="15"/>
  <c r="K11" i="15"/>
  <c r="E2" i="13"/>
  <c r="C2" i="13"/>
  <c r="F2" i="13" s="1"/>
  <c r="C12" i="13"/>
  <c r="E11" i="13"/>
  <c r="E36" i="15"/>
  <c r="E37" i="15" s="1"/>
  <c r="K8" i="15"/>
  <c r="I8" i="15"/>
  <c r="E34" i="15"/>
  <c r="C13" i="13"/>
  <c r="C11" i="13"/>
  <c r="C10" i="13"/>
  <c r="E9" i="13"/>
  <c r="C16" i="13"/>
  <c r="F16" i="13" s="1"/>
  <c r="E14" i="13"/>
  <c r="C9" i="13"/>
  <c r="E8" i="13"/>
  <c r="I9" i="15"/>
  <c r="K9" i="15"/>
  <c r="E12" i="13"/>
  <c r="E10" i="13"/>
  <c r="C8" i="13"/>
  <c r="E7" i="13"/>
  <c r="F7" i="13" s="1"/>
  <c r="E47" i="15"/>
  <c r="E48" i="15" s="1"/>
  <c r="E45" i="15"/>
  <c r="B14" i="10"/>
  <c r="B15" i="10"/>
  <c r="B16" i="10"/>
  <c r="B17" i="10"/>
  <c r="B18" i="10"/>
  <c r="B19" i="10"/>
  <c r="B20" i="10"/>
  <c r="B21" i="10"/>
  <c r="B22" i="10"/>
  <c r="B23" i="10"/>
  <c r="B24" i="10"/>
  <c r="B25" i="10"/>
  <c r="B26" i="10"/>
  <c r="B27" i="10"/>
  <c r="B28" i="10"/>
  <c r="B29" i="10"/>
  <c r="B30" i="10"/>
  <c r="B31" i="10"/>
  <c r="B32" i="10"/>
  <c r="B33" i="10"/>
  <c r="B34" i="10"/>
  <c r="B35" i="10"/>
  <c r="B36" i="10"/>
  <c r="B37" i="10"/>
  <c r="B38" i="10"/>
  <c r="B39" i="10"/>
  <c r="B40" i="10"/>
  <c r="B41" i="10"/>
  <c r="B42" i="10"/>
  <c r="B43" i="10"/>
  <c r="B44" i="10"/>
  <c r="B45" i="10"/>
  <c r="B46" i="10"/>
  <c r="B47" i="10"/>
  <c r="B48" i="10"/>
  <c r="B49" i="10"/>
  <c r="B50" i="10"/>
  <c r="B51" i="10"/>
  <c r="B52" i="10"/>
  <c r="B53" i="10"/>
  <c r="B54" i="10"/>
  <c r="B55" i="10"/>
  <c r="B56" i="10"/>
  <c r="B57" i="10"/>
  <c r="B58" i="10"/>
  <c r="B59" i="10"/>
  <c r="B60" i="10"/>
  <c r="B61" i="10"/>
  <c r="B62" i="10"/>
  <c r="B63" i="10"/>
  <c r="B64" i="10"/>
  <c r="B65" i="10"/>
  <c r="B66" i="10"/>
  <c r="B67" i="10"/>
  <c r="B68" i="10"/>
  <c r="B69" i="10"/>
  <c r="B70" i="10"/>
  <c r="B71" i="10"/>
  <c r="B72" i="10"/>
  <c r="B73" i="10"/>
  <c r="B74" i="10"/>
  <c r="B4" i="10"/>
  <c r="B5" i="10"/>
  <c r="B6" i="10"/>
  <c r="B7" i="10"/>
  <c r="B8" i="10"/>
  <c r="B9" i="10"/>
  <c r="B10" i="10"/>
  <c r="B11" i="10"/>
  <c r="B12" i="10"/>
  <c r="B13" i="10"/>
  <c r="B3" i="10"/>
  <c r="AP39" i="10"/>
  <c r="AP38" i="10"/>
  <c r="AG38" i="10"/>
  <c r="AP37" i="10"/>
  <c r="AG37" i="10"/>
  <c r="AP36" i="10"/>
  <c r="AG36" i="10"/>
  <c r="AB104" i="7"/>
  <c r="AP147" i="7"/>
  <c r="AP146" i="7"/>
  <c r="AP145" i="7"/>
  <c r="AP144" i="7"/>
  <c r="AP143" i="7"/>
  <c r="AP142" i="7"/>
  <c r="AP141" i="7"/>
  <c r="AP140" i="7"/>
  <c r="AP139" i="7"/>
  <c r="AP138" i="7"/>
  <c r="AP137" i="7"/>
  <c r="AP136" i="7"/>
  <c r="AP135" i="7"/>
  <c r="AP134" i="7"/>
  <c r="AP133" i="7"/>
  <c r="AP132" i="7"/>
  <c r="AP131" i="7"/>
  <c r="AP130" i="7"/>
  <c r="AP129" i="7"/>
  <c r="AP128" i="7"/>
  <c r="AP127" i="7"/>
  <c r="AP126" i="7"/>
  <c r="AP125" i="7"/>
  <c r="AP124" i="7"/>
  <c r="AP123" i="7"/>
  <c r="AP122" i="7"/>
  <c r="AP121" i="7"/>
  <c r="AP120" i="7"/>
  <c r="AP119" i="7"/>
  <c r="AP118" i="7"/>
  <c r="AP117" i="7"/>
  <c r="AP116" i="7"/>
  <c r="AP115" i="7"/>
  <c r="AP114" i="7"/>
  <c r="AP113" i="7"/>
  <c r="AP112" i="7"/>
  <c r="AP111" i="7"/>
  <c r="AP110" i="7"/>
  <c r="AP109" i="7"/>
  <c r="AP108" i="7"/>
  <c r="AP107" i="7"/>
  <c r="AG108" i="7"/>
  <c r="AG109" i="7"/>
  <c r="AG110" i="7"/>
  <c r="AG111" i="7"/>
  <c r="AG112" i="7"/>
  <c r="AG113" i="7"/>
  <c r="AG114" i="7"/>
  <c r="AG115" i="7"/>
  <c r="AG116" i="7"/>
  <c r="AG117" i="7"/>
  <c r="AG118" i="7"/>
  <c r="AG119" i="7"/>
  <c r="AG120" i="7"/>
  <c r="AG121" i="7"/>
  <c r="AG122" i="7"/>
  <c r="AG123" i="7"/>
  <c r="AG124" i="7"/>
  <c r="AG125" i="7"/>
  <c r="AG126" i="7"/>
  <c r="AG127" i="7"/>
  <c r="AG128" i="7"/>
  <c r="AG129" i="7"/>
  <c r="AG130" i="7"/>
  <c r="AG131" i="7"/>
  <c r="AG132" i="7"/>
  <c r="AG133" i="7"/>
  <c r="AG134" i="7"/>
  <c r="AG135" i="7"/>
  <c r="AG136" i="7"/>
  <c r="AG137" i="7"/>
  <c r="AG138" i="7"/>
  <c r="AG139" i="7"/>
  <c r="AG140" i="7"/>
  <c r="AG141" i="7"/>
  <c r="AG142" i="7"/>
  <c r="AG143" i="7"/>
  <c r="AG144" i="7"/>
  <c r="AG145" i="7"/>
  <c r="AG146" i="7"/>
  <c r="AG147" i="7"/>
  <c r="AG107" i="7"/>
  <c r="W107" i="7"/>
  <c r="W108" i="7"/>
  <c r="W109" i="7"/>
  <c r="W110" i="7"/>
  <c r="W111" i="7"/>
  <c r="W112" i="7"/>
  <c r="W113" i="7"/>
  <c r="W114" i="7"/>
  <c r="W115" i="7"/>
  <c r="W116" i="7"/>
  <c r="W117" i="7"/>
  <c r="W118" i="7"/>
  <c r="W119" i="7"/>
  <c r="W120" i="7"/>
  <c r="W121" i="7"/>
  <c r="W122" i="7"/>
  <c r="W123" i="7"/>
  <c r="W124" i="7"/>
  <c r="W125" i="7"/>
  <c r="W126" i="7"/>
  <c r="AP148" i="7" s="1"/>
  <c r="W106" i="7"/>
  <c r="AP106" i="7" s="1"/>
  <c r="H64" i="7"/>
  <c r="H65" i="7"/>
  <c r="H66" i="7"/>
  <c r="H67" i="7"/>
  <c r="H68" i="7"/>
  <c r="H69" i="7"/>
  <c r="H70" i="7"/>
  <c r="H71" i="7"/>
  <c r="H72" i="7"/>
  <c r="H73" i="7"/>
  <c r="H74" i="7"/>
  <c r="H75" i="7"/>
  <c r="H76" i="7"/>
  <c r="H77" i="7"/>
  <c r="H78" i="7"/>
  <c r="H79" i="7"/>
  <c r="H80" i="7"/>
  <c r="H81" i="7"/>
  <c r="H82" i="7"/>
  <c r="H83" i="7"/>
  <c r="H63" i="7"/>
  <c r="F64" i="7"/>
  <c r="F65" i="7"/>
  <c r="F66" i="7"/>
  <c r="F67" i="7"/>
  <c r="F68" i="7"/>
  <c r="F69" i="7"/>
  <c r="F70" i="7"/>
  <c r="F71" i="7"/>
  <c r="F72" i="7"/>
  <c r="F73" i="7"/>
  <c r="F74" i="7"/>
  <c r="F75" i="7"/>
  <c r="F76" i="7"/>
  <c r="F77" i="7"/>
  <c r="F78" i="7"/>
  <c r="F79" i="7"/>
  <c r="F80" i="7"/>
  <c r="F81" i="7"/>
  <c r="F82" i="7"/>
  <c r="F83" i="7"/>
  <c r="F63" i="7"/>
  <c r="D64" i="7"/>
  <c r="D65" i="7"/>
  <c r="D66" i="7"/>
  <c r="D67" i="7"/>
  <c r="D68" i="7"/>
  <c r="D69" i="7"/>
  <c r="D70" i="7"/>
  <c r="D71" i="7"/>
  <c r="D72" i="7"/>
  <c r="D73" i="7"/>
  <c r="D74" i="7"/>
  <c r="D75" i="7"/>
  <c r="D76" i="7"/>
  <c r="D77" i="7"/>
  <c r="D78" i="7"/>
  <c r="D79" i="7"/>
  <c r="D80" i="7"/>
  <c r="D81" i="7"/>
  <c r="D82" i="7"/>
  <c r="D83" i="7"/>
  <c r="D63" i="7"/>
  <c r="C83" i="7"/>
  <c r="C82" i="7"/>
  <c r="C81" i="7"/>
  <c r="C80" i="7"/>
  <c r="C79" i="7"/>
  <c r="C78" i="7"/>
  <c r="C77" i="7"/>
  <c r="C76" i="7"/>
  <c r="C75" i="7"/>
  <c r="C74" i="7"/>
  <c r="C73" i="7"/>
  <c r="C72" i="7"/>
  <c r="C71" i="7"/>
  <c r="C70" i="7"/>
  <c r="C69" i="7"/>
  <c r="C68" i="7"/>
  <c r="C67" i="7"/>
  <c r="C66" i="7"/>
  <c r="C65" i="7"/>
  <c r="C64" i="7"/>
  <c r="C63" i="7"/>
  <c r="E34" i="7"/>
  <c r="E35" i="7"/>
  <c r="E36" i="7"/>
  <c r="E37" i="7"/>
  <c r="E38" i="7"/>
  <c r="E39" i="7"/>
  <c r="E40" i="7"/>
  <c r="E41" i="7"/>
  <c r="E42" i="7"/>
  <c r="E43" i="7"/>
  <c r="E44" i="7"/>
  <c r="E45" i="7"/>
  <c r="E46" i="7"/>
  <c r="E47" i="7"/>
  <c r="E48" i="7"/>
  <c r="E49" i="7"/>
  <c r="E50" i="7"/>
  <c r="E51" i="7"/>
  <c r="E52" i="7"/>
  <c r="E53" i="7"/>
  <c r="E33" i="7"/>
  <c r="D34" i="7"/>
  <c r="D35" i="7"/>
  <c r="D36" i="7"/>
  <c r="D37" i="7"/>
  <c r="D38" i="7"/>
  <c r="D39" i="7"/>
  <c r="D40" i="7"/>
  <c r="D41" i="7"/>
  <c r="D42" i="7"/>
  <c r="D43" i="7"/>
  <c r="D44" i="7"/>
  <c r="D45" i="7"/>
  <c r="D46" i="7"/>
  <c r="D47" i="7"/>
  <c r="D48" i="7"/>
  <c r="D49" i="7"/>
  <c r="D50" i="7"/>
  <c r="D51" i="7"/>
  <c r="D52" i="7"/>
  <c r="D53" i="7"/>
  <c r="D33" i="7"/>
  <c r="C34" i="7"/>
  <c r="C35" i="7"/>
  <c r="C36" i="7"/>
  <c r="C37" i="7"/>
  <c r="C38" i="7"/>
  <c r="C39" i="7"/>
  <c r="C40" i="7"/>
  <c r="C41" i="7"/>
  <c r="C42" i="7"/>
  <c r="C43" i="7"/>
  <c r="C44" i="7"/>
  <c r="C45" i="7"/>
  <c r="C46" i="7"/>
  <c r="C47" i="7"/>
  <c r="C48" i="7"/>
  <c r="C49" i="7"/>
  <c r="C50" i="7"/>
  <c r="C51" i="7"/>
  <c r="C52" i="7"/>
  <c r="C53" i="7"/>
  <c r="C33" i="7"/>
  <c r="D4" i="7"/>
  <c r="D5" i="7"/>
  <c r="D6" i="7"/>
  <c r="D7" i="7"/>
  <c r="D8" i="7"/>
  <c r="D9" i="7"/>
  <c r="D10" i="7"/>
  <c r="D11" i="7"/>
  <c r="D12" i="7"/>
  <c r="D13" i="7"/>
  <c r="D14" i="7"/>
  <c r="D15" i="7"/>
  <c r="D16" i="7"/>
  <c r="D17" i="7"/>
  <c r="D18" i="7"/>
  <c r="D19" i="7"/>
  <c r="D20" i="7"/>
  <c r="D21" i="7"/>
  <c r="D22" i="7"/>
  <c r="D23" i="7"/>
  <c r="D3" i="7"/>
  <c r="G4" i="7"/>
  <c r="G5" i="7"/>
  <c r="G6" i="7"/>
  <c r="G7" i="7"/>
  <c r="G8" i="7"/>
  <c r="G9" i="7"/>
  <c r="G10" i="7"/>
  <c r="G11" i="7"/>
  <c r="G12" i="7"/>
  <c r="G13" i="7"/>
  <c r="G14" i="7"/>
  <c r="G15" i="7"/>
  <c r="G16" i="7"/>
  <c r="G17" i="7"/>
  <c r="G18" i="7"/>
  <c r="G19" i="7"/>
  <c r="G20" i="7"/>
  <c r="G21" i="7"/>
  <c r="G22" i="7"/>
  <c r="G23" i="7"/>
  <c r="F4" i="7"/>
  <c r="F5" i="7"/>
  <c r="F6" i="7"/>
  <c r="F7" i="7"/>
  <c r="F8" i="7"/>
  <c r="F9" i="7"/>
  <c r="F10" i="7"/>
  <c r="F11" i="7"/>
  <c r="F12" i="7"/>
  <c r="F13" i="7"/>
  <c r="F14" i="7"/>
  <c r="F15" i="7"/>
  <c r="F16" i="7"/>
  <c r="F17" i="7"/>
  <c r="F18" i="7"/>
  <c r="F19" i="7"/>
  <c r="F20" i="7"/>
  <c r="F21" i="7"/>
  <c r="F22" i="7"/>
  <c r="F23" i="7"/>
  <c r="E4" i="7"/>
  <c r="E5" i="7"/>
  <c r="E6" i="7"/>
  <c r="E7" i="7"/>
  <c r="E8" i="7"/>
  <c r="E9" i="7"/>
  <c r="E10" i="7"/>
  <c r="E11" i="7"/>
  <c r="E12" i="7"/>
  <c r="E13" i="7"/>
  <c r="E14" i="7"/>
  <c r="E15" i="7"/>
  <c r="E16" i="7"/>
  <c r="E17" i="7"/>
  <c r="E18" i="7"/>
  <c r="E19" i="7"/>
  <c r="E20" i="7"/>
  <c r="E21" i="7"/>
  <c r="E22" i="7"/>
  <c r="E23" i="7"/>
  <c r="C4" i="7"/>
  <c r="C5" i="7"/>
  <c r="C6" i="7"/>
  <c r="C7" i="7"/>
  <c r="C8" i="7"/>
  <c r="C9" i="7"/>
  <c r="C10" i="7"/>
  <c r="C11" i="7"/>
  <c r="C12" i="7"/>
  <c r="C13" i="7"/>
  <c r="C14" i="7"/>
  <c r="C15" i="7"/>
  <c r="C16" i="7"/>
  <c r="C17" i="7"/>
  <c r="C18" i="7"/>
  <c r="C19" i="7"/>
  <c r="C20" i="7"/>
  <c r="C21" i="7"/>
  <c r="C22" i="7"/>
  <c r="C23" i="7"/>
  <c r="C3" i="7"/>
  <c r="E3" i="7"/>
  <c r="F3" i="7"/>
  <c r="G3" i="7"/>
  <c r="B4" i="7"/>
  <c r="B5" i="7"/>
  <c r="B6" i="7"/>
  <c r="B7" i="7"/>
  <c r="B8" i="7"/>
  <c r="B9" i="7"/>
  <c r="B10" i="7"/>
  <c r="B11" i="7"/>
  <c r="B12" i="7"/>
  <c r="B13" i="7"/>
  <c r="B14" i="7"/>
  <c r="B15" i="7"/>
  <c r="B16" i="7"/>
  <c r="B17" i="7"/>
  <c r="B18" i="7"/>
  <c r="B19" i="7"/>
  <c r="B20" i="7"/>
  <c r="B21" i="7"/>
  <c r="B22" i="7"/>
  <c r="B23" i="7"/>
  <c r="B3" i="7"/>
  <c r="M13" i="15" l="1"/>
  <c r="F12" i="13"/>
  <c r="F15" i="13"/>
  <c r="F8" i="13"/>
  <c r="M12" i="15"/>
  <c r="F9" i="13"/>
  <c r="F10" i="13"/>
  <c r="F14" i="13"/>
  <c r="F11" i="13"/>
  <c r="O12" i="15"/>
  <c r="F13" i="13"/>
  <c r="W58" i="3"/>
  <c r="W57" i="3"/>
  <c r="W56" i="3"/>
  <c r="W55" i="3"/>
  <c r="W54" i="3"/>
  <c r="W53" i="3"/>
  <c r="W52" i="3"/>
  <c r="W51" i="3"/>
  <c r="W50" i="3"/>
  <c r="W49" i="3"/>
  <c r="W48" i="3"/>
  <c r="W47" i="3"/>
  <c r="W46" i="3"/>
  <c r="W45" i="3"/>
  <c r="W44" i="3"/>
  <c r="W43" i="3"/>
  <c r="W42" i="3"/>
  <c r="W41" i="3"/>
  <c r="W40" i="3"/>
  <c r="W39" i="3"/>
  <c r="W38" i="3"/>
  <c r="Y39" i="3"/>
  <c r="Y40" i="3"/>
  <c r="Y41" i="3"/>
  <c r="Y42" i="3"/>
  <c r="Y43" i="3"/>
  <c r="Y44" i="3"/>
  <c r="Y45" i="3"/>
  <c r="Y46" i="3"/>
  <c r="Y47" i="3"/>
  <c r="Y48" i="3"/>
  <c r="Y49" i="3"/>
  <c r="Y50" i="3"/>
  <c r="Y51" i="3"/>
  <c r="Y52" i="3"/>
  <c r="Y53" i="3"/>
  <c r="Y54" i="3"/>
  <c r="Y55" i="3"/>
  <c r="Y56" i="3"/>
  <c r="Y57" i="3"/>
  <c r="Y58" i="3"/>
  <c r="Y38" i="3"/>
  <c r="X39" i="3"/>
  <c r="X40" i="3"/>
  <c r="X41" i="3"/>
  <c r="X42" i="3"/>
  <c r="X43" i="3"/>
  <c r="X44" i="3"/>
  <c r="X45" i="3"/>
  <c r="X46" i="3"/>
  <c r="X47" i="3"/>
  <c r="X48" i="3"/>
  <c r="X49" i="3"/>
  <c r="X50" i="3"/>
  <c r="X51" i="3"/>
  <c r="X52" i="3"/>
  <c r="X53" i="3"/>
  <c r="X54" i="3"/>
  <c r="X55" i="3"/>
  <c r="X56" i="3"/>
  <c r="X57" i="3"/>
  <c r="X58" i="3"/>
  <c r="X38" i="3"/>
  <c r="O63" i="3"/>
  <c r="O64" i="3"/>
  <c r="O65" i="3"/>
  <c r="O66" i="3"/>
  <c r="O67" i="3"/>
  <c r="O68" i="3"/>
  <c r="O69" i="3"/>
  <c r="O70" i="3"/>
  <c r="O71" i="3"/>
  <c r="O72" i="3"/>
  <c r="O73" i="3"/>
  <c r="O74" i="3"/>
  <c r="O75" i="3"/>
  <c r="O76" i="3"/>
  <c r="O77" i="3"/>
  <c r="O78" i="3"/>
  <c r="O79" i="3"/>
  <c r="O80" i="3"/>
  <c r="O81" i="3"/>
  <c r="O82" i="3"/>
  <c r="O62" i="3"/>
  <c r="O39" i="3"/>
  <c r="O40" i="3"/>
  <c r="O41" i="3"/>
  <c r="O42" i="3"/>
  <c r="O43" i="3"/>
  <c r="O44" i="3"/>
  <c r="O45" i="3"/>
  <c r="O46" i="3"/>
  <c r="O47" i="3"/>
  <c r="O48" i="3"/>
  <c r="O49" i="3"/>
  <c r="O50" i="3"/>
  <c r="O51" i="3"/>
  <c r="O52" i="3"/>
  <c r="O53" i="3"/>
  <c r="O54" i="3"/>
  <c r="O55" i="3"/>
  <c r="O56" i="3"/>
  <c r="O57" i="3"/>
  <c r="O58" i="3"/>
  <c r="O38" i="3"/>
  <c r="B20" i="3"/>
  <c r="G8" i="3" s="1"/>
  <c r="B19" i="3"/>
  <c r="E7" i="3" s="1"/>
  <c r="F17" i="13" l="1"/>
  <c r="I18" i="13" s="1"/>
  <c r="F7" i="3"/>
  <c r="J18" i="13"/>
  <c r="I25" i="13" s="1"/>
  <c r="J25" i="13" s="1"/>
  <c r="M18" i="13"/>
  <c r="E5" i="3"/>
  <c r="M19" i="15"/>
  <c r="C8" i="15" s="1"/>
  <c r="E8" i="15" s="1"/>
  <c r="C10" i="15"/>
  <c r="E10" i="15" s="1"/>
  <c r="C11" i="15"/>
  <c r="E11" i="15" s="1"/>
  <c r="C9" i="15"/>
  <c r="E9" i="15" s="1"/>
  <c r="E8" i="3"/>
  <c r="E6" i="3"/>
  <c r="G7" i="3"/>
  <c r="H7" i="3" s="1"/>
  <c r="M19" i="13"/>
  <c r="E9" i="3"/>
  <c r="G5" i="3"/>
  <c r="G9" i="3"/>
  <c r="G6" i="3"/>
  <c r="E136" i="1"/>
  <c r="F136" i="1" s="1"/>
  <c r="G136" i="1" s="1"/>
  <c r="H136" i="1" s="1"/>
  <c r="I136" i="1" s="1"/>
  <c r="J136" i="1" s="1"/>
  <c r="K136" i="1" s="1"/>
  <c r="L136" i="1" s="1"/>
  <c r="H6" i="3" l="1"/>
  <c r="F6" i="3"/>
  <c r="G8" i="15"/>
  <c r="F8" i="15"/>
  <c r="H8" i="3"/>
  <c r="F8" i="3"/>
  <c r="F11" i="15"/>
  <c r="G11" i="15"/>
  <c r="H5" i="3"/>
  <c r="F5" i="3"/>
  <c r="N18" i="13"/>
  <c r="M25" i="13" s="1"/>
  <c r="N25" i="13" s="1"/>
  <c r="F9" i="3"/>
  <c r="H9" i="3"/>
  <c r="F9" i="15"/>
  <c r="G9" i="15"/>
  <c r="G10" i="15"/>
  <c r="F10" i="15"/>
  <c r="G24" i="3" l="1"/>
  <c r="G25" i="3"/>
  <c r="E15" i="15"/>
  <c r="E17" i="15"/>
  <c r="E18" i="15" s="1"/>
  <c r="H24" i="3" l="1"/>
  <c r="G27" i="3"/>
  <c r="L29" i="3" s="1"/>
</calcChain>
</file>

<file path=xl/sharedStrings.xml><?xml version="1.0" encoding="utf-8"?>
<sst xmlns="http://schemas.openxmlformats.org/spreadsheetml/2006/main" count="3741" uniqueCount="2960">
  <si>
    <t>항</t>
    <phoneticPr fontId="5" type="noConversion"/>
  </si>
  <si>
    <t>항은 숫자 또는 문자의 곱으로  구성된 식</t>
    <phoneticPr fontId="5" type="noConversion"/>
  </si>
  <si>
    <t>숫자와 문자를 곱한 것</t>
    <phoneticPr fontId="5" type="noConversion"/>
  </si>
  <si>
    <t>3a</t>
    <phoneticPr fontId="5" type="noConversion"/>
  </si>
  <si>
    <t>문자와 문자를 곱한 것</t>
    <phoneticPr fontId="5" type="noConversion"/>
  </si>
  <si>
    <t>a</t>
    <phoneticPr fontId="5" type="noConversion"/>
  </si>
  <si>
    <t>a는 1과 a를 곱한 것이므로</t>
    <phoneticPr fontId="5" type="noConversion"/>
  </si>
  <si>
    <r>
      <t>2a</t>
    </r>
    <r>
      <rPr>
        <vertAlign val="superscript"/>
        <sz val="11"/>
        <color theme="1"/>
        <rFont val="맑은 고딕"/>
        <family val="3"/>
        <charset val="129"/>
        <scheme val="minor"/>
      </rPr>
      <t>2</t>
    </r>
    <phoneticPr fontId="5" type="noConversion"/>
  </si>
  <si>
    <r>
      <t>a</t>
    </r>
    <r>
      <rPr>
        <vertAlign val="superscript"/>
        <sz val="11"/>
        <color theme="1"/>
        <rFont val="맑은 고딕"/>
        <family val="3"/>
        <charset val="129"/>
        <scheme val="minor"/>
      </rPr>
      <t>2</t>
    </r>
    <phoneticPr fontId="5" type="noConversion"/>
  </si>
  <si>
    <t>상수항</t>
    <phoneticPr fontId="5" type="noConversion"/>
  </si>
  <si>
    <t>항 중에서 숫자만 있는 항</t>
    <phoneticPr fontId="5" type="noConversion"/>
  </si>
  <si>
    <t>2x+y+1이라는 식에서 1이 상수항</t>
    <phoneticPr fontId="5" type="noConversion"/>
  </si>
  <si>
    <t>계수</t>
    <phoneticPr fontId="5" type="noConversion"/>
  </si>
  <si>
    <t>coefficient</t>
    <phoneticPr fontId="5" type="noConversion"/>
  </si>
  <si>
    <t>상수와 변수로 구성된 단항식에서 변수와 곱해진 상수</t>
    <phoneticPr fontId="5" type="noConversion"/>
  </si>
  <si>
    <t>-3은 상수항이자 계수이다.</t>
    <phoneticPr fontId="5" type="noConversion"/>
  </si>
  <si>
    <r>
      <t>-3 상수는 x</t>
    </r>
    <r>
      <rPr>
        <vertAlign val="superscript"/>
        <sz val="11"/>
        <color theme="1"/>
        <rFont val="맑은 고딕"/>
        <family val="3"/>
        <charset val="129"/>
        <scheme val="minor"/>
      </rPr>
      <t>0</t>
    </r>
    <r>
      <rPr>
        <sz val="11"/>
        <color theme="1"/>
        <rFont val="맑은 고딕"/>
        <family val="3"/>
        <charset val="129"/>
        <scheme val="minor"/>
      </rPr>
      <t xml:space="preserve"> (x의 0제곱)과 -3의 곱으로 볼 수 있으므로 상수항인 -3도 계수에 포함됨</t>
    </r>
    <phoneticPr fontId="5" type="noConversion"/>
  </si>
  <si>
    <t>단항식과 다항식</t>
    <phoneticPr fontId="5" type="noConversion"/>
  </si>
  <si>
    <t>단항식</t>
    <phoneticPr fontId="5" type="noConversion"/>
  </si>
  <si>
    <t>: 항이 하나로 된 식</t>
    <phoneticPr fontId="5" type="noConversion"/>
  </si>
  <si>
    <t>다항식</t>
    <phoneticPr fontId="5" type="noConversion"/>
  </si>
  <si>
    <t>: 항이 두 개 이상인 항의 합으로 된 식</t>
    <phoneticPr fontId="5" type="noConversion"/>
  </si>
  <si>
    <t>차수</t>
    <phoneticPr fontId="5" type="noConversion"/>
  </si>
  <si>
    <t>차수는 문자를 곱한 횟수를 의미함</t>
    <phoneticPr fontId="5" type="noConversion"/>
  </si>
  <si>
    <r>
      <t>2x</t>
    </r>
    <r>
      <rPr>
        <vertAlign val="superscript"/>
        <sz val="11"/>
        <color theme="1"/>
        <rFont val="맑은 고딕"/>
        <family val="3"/>
        <charset val="129"/>
        <scheme val="minor"/>
      </rPr>
      <t xml:space="preserve">2 </t>
    </r>
    <r>
      <rPr>
        <sz val="11"/>
        <color theme="1"/>
        <rFont val="맑은 고딕"/>
        <family val="3"/>
        <charset val="129"/>
        <scheme val="minor"/>
      </rPr>
      <t>은 x를 두 번 곱했기 때문에 차수가 2이고</t>
    </r>
    <phoneticPr fontId="5" type="noConversion"/>
  </si>
  <si>
    <r>
      <t>3y</t>
    </r>
    <r>
      <rPr>
        <vertAlign val="superscript"/>
        <sz val="11"/>
        <color theme="1"/>
        <rFont val="맑은 고딕"/>
        <family val="3"/>
        <charset val="129"/>
        <scheme val="minor"/>
      </rPr>
      <t xml:space="preserve">1 </t>
    </r>
    <r>
      <rPr>
        <sz val="11"/>
        <color theme="1"/>
        <rFont val="맑은 고딕"/>
        <family val="3"/>
        <charset val="129"/>
        <scheme val="minor"/>
      </rPr>
      <t>은 y를 한 번 곱했기 때문에 차수가 1이됨</t>
    </r>
    <phoneticPr fontId="5" type="noConversion"/>
  </si>
  <si>
    <r>
      <t>-3은 x</t>
    </r>
    <r>
      <rPr>
        <vertAlign val="superscript"/>
        <sz val="11"/>
        <color theme="1"/>
        <rFont val="맑은 고딕"/>
        <family val="3"/>
        <charset val="129"/>
        <scheme val="minor"/>
      </rPr>
      <t xml:space="preserve">0 </t>
    </r>
    <r>
      <rPr>
        <sz val="11"/>
        <color theme="1"/>
        <rFont val="맑은 고딕"/>
        <family val="3"/>
        <charset val="129"/>
        <scheme val="minor"/>
      </rPr>
      <t>은이므로 차수가 0이됨</t>
    </r>
    <r>
      <rPr>
        <vertAlign val="superscript"/>
        <sz val="11"/>
        <color theme="1"/>
        <rFont val="맑은 고딕"/>
        <family val="3"/>
        <charset val="129"/>
        <scheme val="minor"/>
      </rPr>
      <t xml:space="preserve"> </t>
    </r>
    <phoneticPr fontId="5" type="noConversion"/>
  </si>
  <si>
    <t>x를 기준으로 차수를 구하면 x에 대한 이차식</t>
    <phoneticPr fontId="5" type="noConversion"/>
  </si>
  <si>
    <t>y를 기준으로 차수를 구하면 y에 대한 일차식</t>
    <phoneticPr fontId="5" type="noConversion"/>
  </si>
  <si>
    <t>수식</t>
    <phoneticPr fontId="5" type="noConversion"/>
  </si>
  <si>
    <t>수식이란 변수와 상수를 연산자를 이용하여 표현한 식</t>
    <phoneticPr fontId="5" type="noConversion"/>
  </si>
  <si>
    <t>https://colab.research.google.com/drive/1bftNkhYWUaZJa0p-T1hfhgb8yycWZe5O#scrollTo=_Dt-Fv8CDnRs</t>
    <phoneticPr fontId="5" type="noConversion"/>
  </si>
  <si>
    <t>팩토리얼(factorial)</t>
    <phoneticPr fontId="5" type="noConversion"/>
  </si>
  <si>
    <t>피보나치</t>
  </si>
  <si>
    <t>첫째 및 둘째 항이 1이며 그 뒤의 모든 항은 바로 앞 두 항의 합인 수열(컴퓨터에서는 배열이나 리스트)</t>
  </si>
  <si>
    <t>재귀</t>
  </si>
  <si>
    <t>수열(sequence)</t>
    <phoneticPr fontId="5" type="noConversion"/>
  </si>
  <si>
    <t>x</t>
    <phoneticPr fontId="5" type="noConversion"/>
  </si>
  <si>
    <t>y</t>
    <phoneticPr fontId="5" type="noConversion"/>
  </si>
  <si>
    <t>y=ax</t>
    <phoneticPr fontId="5" type="noConversion"/>
  </si>
  <si>
    <t>a</t>
    <phoneticPr fontId="5" type="noConversion"/>
  </si>
  <si>
    <t>1x</t>
    <phoneticPr fontId="5" type="noConversion"/>
  </si>
  <si>
    <t>2x</t>
    <phoneticPr fontId="5" type="noConversion"/>
  </si>
  <si>
    <t>3x</t>
    <phoneticPr fontId="5" type="noConversion"/>
  </si>
  <si>
    <t>-1x</t>
    <phoneticPr fontId="5" type="noConversion"/>
  </si>
  <si>
    <t>-2x</t>
  </si>
  <si>
    <t>-3x</t>
  </si>
  <si>
    <t>일차함수 그래프</t>
    <phoneticPr fontId="5" type="noConversion"/>
  </si>
  <si>
    <t>키</t>
  </si>
  <si>
    <t>몸무게</t>
  </si>
  <si>
    <t>A</t>
  </si>
  <si>
    <t>B</t>
  </si>
  <si>
    <t>C</t>
  </si>
  <si>
    <t>D</t>
  </si>
  <si>
    <t>E</t>
  </si>
  <si>
    <t>키 평균</t>
    <phoneticPr fontId="5" type="noConversion"/>
  </si>
  <si>
    <t>몸무게 평균</t>
    <phoneticPr fontId="5" type="noConversion"/>
  </si>
  <si>
    <t>(x-x평균)(y-y평균)의 합</t>
  </si>
  <si>
    <t>(x-x평균) 제곱의 합</t>
  </si>
  <si>
    <t>키 편차deviation</t>
    <phoneticPr fontId="5" type="noConversion"/>
  </si>
  <si>
    <t>몸무게 편차deviation</t>
    <phoneticPr fontId="5" type="noConversion"/>
  </si>
  <si>
    <t>편차란 평균과의 차</t>
    <phoneticPr fontId="5" type="noConversion"/>
  </si>
  <si>
    <r>
      <rPr>
        <sz val="11"/>
        <color theme="1"/>
        <rFont val="돋움"/>
        <family val="3"/>
        <charset val="129"/>
      </rPr>
      <t>키</t>
    </r>
    <r>
      <rPr>
        <sz val="11"/>
        <color theme="1"/>
        <rFont val="Calibri"/>
        <family val="2"/>
      </rPr>
      <t xml:space="preserve"> </t>
    </r>
    <r>
      <rPr>
        <sz val="11"/>
        <color theme="1"/>
        <rFont val="돋움"/>
        <family val="3"/>
        <charset val="129"/>
      </rPr>
      <t>편차</t>
    </r>
    <r>
      <rPr>
        <sz val="11"/>
        <color theme="1"/>
        <rFont val="Calibri"/>
        <family val="2"/>
      </rPr>
      <t xml:space="preserve"> X </t>
    </r>
    <r>
      <rPr>
        <sz val="11"/>
        <color theme="1"/>
        <rFont val="돋움"/>
        <family val="3"/>
        <charset val="129"/>
      </rPr>
      <t>몸무게</t>
    </r>
    <r>
      <rPr>
        <sz val="11"/>
        <color theme="1"/>
        <rFont val="Calibri"/>
        <family val="2"/>
      </rPr>
      <t xml:space="preserve"> </t>
    </r>
    <r>
      <rPr>
        <sz val="11"/>
        <color theme="1"/>
        <rFont val="돋움"/>
        <family val="3"/>
        <charset val="129"/>
      </rPr>
      <t>편차</t>
    </r>
    <phoneticPr fontId="5" type="noConversion"/>
  </si>
  <si>
    <t>키편차의 제곱</t>
    <phoneticPr fontId="5" type="noConversion"/>
  </si>
  <si>
    <t>mean(y) - (mean(x)*a)</t>
  </si>
  <si>
    <t>y=ax+b</t>
    <phoneticPr fontId="5" type="noConversion"/>
  </si>
  <si>
    <t>기울기(a)</t>
    <phoneticPr fontId="5" type="noConversion"/>
  </si>
  <si>
    <t>y절편(b)</t>
    <phoneticPr fontId="5" type="noConversion"/>
  </si>
  <si>
    <t>y= 0.98*x -102</t>
    <phoneticPr fontId="5" type="noConversion"/>
  </si>
  <si>
    <t>만약에 키가 163이면</t>
    <phoneticPr fontId="5" type="noConversion"/>
  </si>
  <si>
    <t>몸무게는</t>
    <phoneticPr fontId="5" type="noConversion"/>
  </si>
  <si>
    <t>으로 예측됨</t>
    <phoneticPr fontId="5" type="noConversion"/>
  </si>
  <si>
    <t>이차함수와 그래프</t>
    <phoneticPr fontId="5" type="noConversion"/>
  </si>
  <si>
    <t>x</t>
    <phoneticPr fontId="5" type="noConversion"/>
  </si>
  <si>
    <t>y</t>
    <phoneticPr fontId="5" type="noConversion"/>
  </si>
  <si>
    <r>
      <t>y=x</t>
    </r>
    <r>
      <rPr>
        <vertAlign val="superscript"/>
        <sz val="11"/>
        <color theme="1"/>
        <rFont val="맑은 고딕"/>
        <family val="3"/>
        <charset val="129"/>
        <scheme val="minor"/>
      </rPr>
      <t>2</t>
    </r>
    <phoneticPr fontId="5" type="noConversion"/>
  </si>
  <si>
    <r>
      <t>y=-x</t>
    </r>
    <r>
      <rPr>
        <vertAlign val="superscript"/>
        <sz val="11"/>
        <color theme="1"/>
        <rFont val="맑은 고딕"/>
        <family val="3"/>
        <charset val="129"/>
        <scheme val="minor"/>
      </rPr>
      <t>2</t>
    </r>
    <phoneticPr fontId="5" type="noConversion"/>
  </si>
  <si>
    <r>
      <t>y=ax</t>
    </r>
    <r>
      <rPr>
        <vertAlign val="superscript"/>
        <sz val="11"/>
        <color theme="1"/>
        <rFont val="맑은 고딕"/>
        <family val="3"/>
        <charset val="129"/>
        <scheme val="minor"/>
      </rPr>
      <t>2</t>
    </r>
    <phoneticPr fontId="5" type="noConversion"/>
  </si>
  <si>
    <t>a값</t>
    <phoneticPr fontId="5" type="noConversion"/>
  </si>
  <si>
    <t>y값</t>
    <phoneticPr fontId="5" type="noConversion"/>
  </si>
  <si>
    <r>
      <t>1x</t>
    </r>
    <r>
      <rPr>
        <vertAlign val="superscript"/>
        <sz val="11"/>
        <color theme="1"/>
        <rFont val="맑은 고딕"/>
        <family val="3"/>
        <charset val="129"/>
        <scheme val="minor"/>
      </rPr>
      <t>2</t>
    </r>
    <phoneticPr fontId="5" type="noConversion"/>
  </si>
  <si>
    <r>
      <rPr>
        <sz val="11"/>
        <color theme="1"/>
        <rFont val="맑은 고딕"/>
        <family val="3"/>
        <charset val="129"/>
        <scheme val="minor"/>
      </rPr>
      <t>2</t>
    </r>
    <r>
      <rPr>
        <sz val="11"/>
        <color theme="1"/>
        <rFont val="맑은 고딕"/>
        <family val="2"/>
        <scheme val="minor"/>
      </rPr>
      <t>x</t>
    </r>
    <r>
      <rPr>
        <vertAlign val="superscript"/>
        <sz val="11"/>
        <color theme="1"/>
        <rFont val="맑은 고딕"/>
        <family val="3"/>
        <charset val="129"/>
        <scheme val="minor"/>
      </rPr>
      <t>2</t>
    </r>
    <phoneticPr fontId="5" type="noConversion"/>
  </si>
  <si>
    <r>
      <rPr>
        <sz val="11"/>
        <color theme="1"/>
        <rFont val="맑은 고딕"/>
        <family val="3"/>
        <charset val="129"/>
        <scheme val="minor"/>
      </rPr>
      <t>3</t>
    </r>
    <r>
      <rPr>
        <sz val="11"/>
        <color theme="1"/>
        <rFont val="맑은 고딕"/>
        <family val="2"/>
        <scheme val="minor"/>
      </rPr>
      <t>x</t>
    </r>
    <r>
      <rPr>
        <vertAlign val="superscript"/>
        <sz val="11"/>
        <color theme="1"/>
        <rFont val="맑은 고딕"/>
        <family val="3"/>
        <charset val="129"/>
        <scheme val="minor"/>
      </rPr>
      <t>2</t>
    </r>
    <phoneticPr fontId="5" type="noConversion"/>
  </si>
  <si>
    <t>vector</t>
    <phoneticPr fontId="5" type="noConversion"/>
  </si>
  <si>
    <t>수학에서 어떤 정보를 표현할 때 크기와 방향을 모두 가지는 것을 벡터라고 하고, 크기만 가지는 것을 스칼라</t>
    <phoneticPr fontId="5" type="noConversion"/>
  </si>
  <si>
    <t>행렬(matrix)</t>
    <phoneticPr fontId="5" type="noConversion"/>
  </si>
  <si>
    <t>수학에서는 사각형으로 된 수의 배열을 지칭함. 1개 이상의 벡터 모임</t>
    <phoneticPr fontId="5" type="noConversion"/>
  </si>
  <si>
    <t>피타고라스정리</t>
    <phoneticPr fontId="5" type="noConversion"/>
  </si>
  <si>
    <t>x</t>
    <phoneticPr fontId="5" type="noConversion"/>
  </si>
  <si>
    <t>y</t>
    <phoneticPr fontId="5" type="noConversion"/>
  </si>
  <si>
    <t>a</t>
    <phoneticPr fontId="5" type="noConversion"/>
  </si>
  <si>
    <r>
      <t>기호 </t>
    </r>
    <r>
      <rPr>
        <sz val="14"/>
        <color rgb="FF202122"/>
        <rFont val="Arial"/>
        <family val="2"/>
      </rPr>
      <t>e</t>
    </r>
    <r>
      <rPr>
        <sz val="12"/>
        <color rgb="FF202122"/>
        <rFont val="Arial"/>
        <family val="2"/>
      </rPr>
      <t>로 표기</t>
    </r>
  </si>
  <si>
    <t>자연상수</t>
    <phoneticPr fontId="5" type="noConversion"/>
  </si>
  <si>
    <t>또는 오일러수</t>
    <phoneticPr fontId="5" type="noConversion"/>
  </si>
  <si>
    <t>import numpy as np</t>
    <phoneticPr fontId="5" type="noConversion"/>
  </si>
  <si>
    <t>np.exp(1)</t>
    <phoneticPr fontId="5" type="noConversion"/>
  </si>
  <si>
    <t xml:space="preserve"> == math.e</t>
    <phoneticPr fontId="5" type="noConversion"/>
  </si>
  <si>
    <t>import math</t>
    <phoneticPr fontId="5" type="noConversion"/>
  </si>
  <si>
    <t>y</t>
    <phoneticPr fontId="5" type="noConversion"/>
  </si>
  <si>
    <t>p</t>
    <phoneticPr fontId="5" type="noConversion"/>
  </si>
  <si>
    <t>q</t>
    <phoneticPr fontId="5" type="noConversion"/>
  </si>
  <si>
    <t>지수함수의 평행이동</t>
    <phoneticPr fontId="5" type="noConversion"/>
  </si>
  <si>
    <t>지수함수의 대칭이동</t>
    <phoneticPr fontId="5" type="noConversion"/>
  </si>
  <si>
    <t>y축에 대해 대칭이동</t>
    <phoneticPr fontId="5" type="noConversion"/>
  </si>
  <si>
    <t>x축에 대해 대칭이동</t>
    <phoneticPr fontId="5" type="noConversion"/>
  </si>
  <si>
    <t>원점에 대해 대칭이동</t>
    <phoneticPr fontId="5" type="noConversion"/>
  </si>
  <si>
    <t>'Logistic function'에서 'logistic'은 특히 두 번째 의미와 관련이 깊습니다. 즉, 논리적이고 체계적인 방식으로 표현되는 수학적 함수를 의미합니다. 이 함수는 서서히 증가하다가 특정 값에 접근하면 증가 속도가 점점 둔화되는 S자 형태의 곡선을 그립니다.</t>
  </si>
  <si>
    <t>따라서 'logistic function'이란 용어에서 'logistic'은 이 함수가 체계적이고 논리적인 방식으로 모델링된다는 의미를 내포하고 있습니다.</t>
  </si>
  <si>
    <t>로지스틱 함수</t>
    <phoneticPr fontId="5" type="noConversion"/>
  </si>
  <si>
    <t>사전적으로 'logistic'의 의미는 다음과 같습니다:</t>
  </si>
  <si>
    <t>예) logistic support, logistic operations</t>
  </si>
  <si>
    <t>예) a logistic approach to problem-solving</t>
  </si>
  <si>
    <t>예) the logistic of organizing a large event</t>
  </si>
  <si>
    <t>1) 물류, 보급, 또는 운송과 관련된 것.</t>
    <phoneticPr fontId="5" type="noConversion"/>
  </si>
  <si>
    <t>2) 논리적이고 체계적인 방식으로 계획되고 실행되는 것.</t>
    <phoneticPr fontId="5" type="noConversion"/>
  </si>
  <si>
    <t>3) 관리와 조정을 포함하는 복잡한 작업이나 활동.</t>
    <phoneticPr fontId="5" type="noConversion"/>
  </si>
  <si>
    <t>x</t>
    <phoneticPr fontId="5" type="noConversion"/>
  </si>
  <si>
    <t>y</t>
    <phoneticPr fontId="5" type="noConversion"/>
  </si>
  <si>
    <t>e</t>
    <phoneticPr fontId="5" type="noConversion"/>
  </si>
  <si>
    <t>A반</t>
    <phoneticPr fontId="5" type="noConversion"/>
  </si>
  <si>
    <t>B반</t>
    <phoneticPr fontId="5" type="noConversion"/>
  </si>
  <si>
    <t>데이터  다루기</t>
    <phoneticPr fontId="5" type="noConversion"/>
  </si>
  <si>
    <t>D반</t>
    <phoneticPr fontId="5" type="noConversion"/>
  </si>
  <si>
    <t>데이터프레임.join(데이터프레임)</t>
    <phoneticPr fontId="5" type="noConversion"/>
  </si>
  <si>
    <t>pd.concat([데이터프레임1, 데이터프레임1])</t>
    <phoneticPr fontId="5" type="noConversion"/>
  </si>
  <si>
    <t>표 만드는 일반적인 방법</t>
    <phoneticPr fontId="5" type="noConversion"/>
  </si>
  <si>
    <t>id</t>
    <phoneticPr fontId="5" type="noConversion"/>
  </si>
  <si>
    <t>hong1</t>
    <phoneticPr fontId="5" type="noConversion"/>
  </si>
  <si>
    <t>hong2</t>
  </si>
  <si>
    <t>hong3</t>
  </si>
  <si>
    <t>hong4</t>
  </si>
  <si>
    <t>hong5</t>
  </si>
  <si>
    <t>이름</t>
    <phoneticPr fontId="5" type="noConversion"/>
  </si>
  <si>
    <t>홍일동</t>
    <phoneticPr fontId="5" type="noConversion"/>
  </si>
  <si>
    <t>홍이동</t>
    <phoneticPr fontId="5" type="noConversion"/>
  </si>
  <si>
    <t>홍삼동</t>
    <phoneticPr fontId="5" type="noConversion"/>
  </si>
  <si>
    <t>홍사동</t>
    <phoneticPr fontId="5" type="noConversion"/>
  </si>
  <si>
    <t>홍오동</t>
    <phoneticPr fontId="5" type="noConversion"/>
  </si>
  <si>
    <t>키</t>
    <phoneticPr fontId="5" type="noConversion"/>
  </si>
  <si>
    <t>칼럼명(헤더)</t>
    <phoneticPr fontId="5" type="noConversion"/>
  </si>
  <si>
    <t>인덱스</t>
    <phoneticPr fontId="5" type="noConversion"/>
  </si>
  <si>
    <t>Harry Potter</t>
  </si>
  <si>
    <t>David Baker</t>
  </si>
  <si>
    <t>John Smith</t>
  </si>
  <si>
    <t>Juan Martinez</t>
  </si>
  <si>
    <t>Jane Connor</t>
  </si>
  <si>
    <t>'</t>
    <phoneticPr fontId="5" type="noConversion"/>
  </si>
  <si>
    <t>'</t>
    <phoneticPr fontId="5" type="noConversion"/>
  </si>
  <si>
    <t>,</t>
    <phoneticPr fontId="5" type="noConversion"/>
  </si>
  <si>
    <t>Male</t>
  </si>
  <si>
    <t>Female</t>
  </si>
  <si>
    <t>'Male',</t>
  </si>
  <si>
    <t>'Female',</t>
  </si>
  <si>
    <t>Intern</t>
  </si>
  <si>
    <t>Alex Du Bois</t>
  </si>
  <si>
    <t>Team Lead</t>
  </si>
  <si>
    <t>Joanne Rowling</t>
  </si>
  <si>
    <t>Manager</t>
  </si>
  <si>
    <t>'Intern',</t>
  </si>
  <si>
    <t>'Team Lead',</t>
  </si>
  <si>
    <t>'Manager',</t>
  </si>
  <si>
    <t>Name</t>
  </si>
  <si>
    <t>Gender</t>
  </si>
  <si>
    <t>Age</t>
  </si>
  <si>
    <t>Position</t>
  </si>
  <si>
    <t>Wage</t>
  </si>
  <si>
    <t>학생</t>
    <phoneticPr fontId="19" type="noConversion"/>
  </si>
  <si>
    <t>국</t>
    <phoneticPr fontId="19" type="noConversion"/>
  </si>
  <si>
    <t>영</t>
    <phoneticPr fontId="19" type="noConversion"/>
  </si>
  <si>
    <t>수</t>
    <phoneticPr fontId="19" type="noConversion"/>
  </si>
  <si>
    <t>B</t>
    <phoneticPr fontId="19" type="noConversion"/>
  </si>
  <si>
    <t>A</t>
    <phoneticPr fontId="19" type="noConversion"/>
  </si>
  <si>
    <t>E</t>
    <phoneticPr fontId="19" type="noConversion"/>
  </si>
  <si>
    <t>C</t>
    <phoneticPr fontId="19" type="noConversion"/>
  </si>
  <si>
    <t>D</t>
    <phoneticPr fontId="19" type="noConversion"/>
  </si>
  <si>
    <t>행 레이블</t>
  </si>
  <si>
    <t>총합계</t>
  </si>
  <si>
    <t>평균 : 국</t>
  </si>
  <si>
    <t>평균 : 영</t>
  </si>
  <si>
    <t>평균 : 수</t>
  </si>
  <si>
    <t>수</t>
  </si>
  <si>
    <t>국</t>
  </si>
  <si>
    <t>영</t>
  </si>
  <si>
    <t>과목</t>
    <phoneticPr fontId="19" type="noConversion"/>
  </si>
  <si>
    <t>평균 : B</t>
  </si>
  <si>
    <t>평균 : A</t>
  </si>
  <si>
    <t>평균 : E</t>
  </si>
  <si>
    <t>평균 : C</t>
  </si>
  <si>
    <t>평균 : D</t>
  </si>
  <si>
    <t>연도</t>
  </si>
  <si>
    <t>광고비</t>
  </si>
  <si>
    <t>매출액</t>
  </si>
  <si>
    <t>광고비 평균</t>
    <phoneticPr fontId="5" type="noConversion"/>
  </si>
  <si>
    <t>매출액 평균</t>
    <phoneticPr fontId="5" type="noConversion"/>
  </si>
  <si>
    <t>광고비편차</t>
    <phoneticPr fontId="5" type="noConversion"/>
  </si>
  <si>
    <t>매출액 편차</t>
    <phoneticPr fontId="5" type="noConversion"/>
  </si>
  <si>
    <t>광고비 편차 X 매출액 편차</t>
    <phoneticPr fontId="5" type="noConversion"/>
  </si>
  <si>
    <t>공분산 =</t>
    <phoneticPr fontId="5" type="noConversion"/>
  </si>
  <si>
    <t>모</t>
    <phoneticPr fontId="5" type="noConversion"/>
  </si>
  <si>
    <t>표본</t>
    <phoneticPr fontId="5" type="noConversion"/>
  </si>
  <si>
    <t>광고비 모표준편차</t>
    <phoneticPr fontId="5" type="noConversion"/>
  </si>
  <si>
    <t>광고비 표본표준편차</t>
    <phoneticPr fontId="5" type="noConversion"/>
  </si>
  <si>
    <t>매출액 모표준편차</t>
    <phoneticPr fontId="5" type="noConversion"/>
  </si>
  <si>
    <t>매출액 표본표준편차</t>
    <phoneticPr fontId="5" type="noConversion"/>
  </si>
  <si>
    <t>상관=</t>
    <phoneticPr fontId="5" type="noConversion"/>
  </si>
  <si>
    <t>로그함수 변형</t>
    <phoneticPr fontId="5" type="noConversion"/>
  </si>
  <si>
    <t>위 그래프를 이동</t>
    <phoneticPr fontId="5" type="noConversion"/>
  </si>
  <si>
    <t>교차(cross) 엔트로피(entrophy) 유도 과정</t>
    <phoneticPr fontId="5" type="noConversion"/>
  </si>
  <si>
    <t>x</t>
    <phoneticPr fontId="5" type="noConversion"/>
  </si>
  <si>
    <t>a</t>
    <phoneticPr fontId="5" type="noConversion"/>
  </si>
  <si>
    <t>1-x</t>
    <phoneticPr fontId="5" type="noConversion"/>
  </si>
  <si>
    <t>y</t>
    <phoneticPr fontId="5" type="noConversion"/>
  </si>
  <si>
    <t>y</t>
    <phoneticPr fontId="5" type="noConversion"/>
  </si>
  <si>
    <t>a&gt;1</t>
    <phoneticPr fontId="5" type="noConversion"/>
  </si>
  <si>
    <t>파란색 선은 실제값이 1일때 사용할 수 있는 그래프</t>
    <phoneticPr fontId="5" type="noConversion"/>
  </si>
  <si>
    <t>예측값이 1일때 오차가 0이고, 반대로 예측값이 0에 가까울수록 오차는 커짐</t>
    <phoneticPr fontId="5" type="noConversion"/>
  </si>
  <si>
    <t>빨간색 선은 실제값이 0일때 사용할 수 있는 그래프</t>
    <phoneticPr fontId="5" type="noConversion"/>
  </si>
  <si>
    <t>예측값이 0일때 오차가 0이고, 반대로 예측값이 1에 가까울수록 오차는 커짐</t>
    <phoneticPr fontId="5" type="noConversion"/>
  </si>
  <si>
    <t>x(공부한 시간)  평균</t>
    <phoneticPr fontId="5" type="noConversion"/>
  </si>
  <si>
    <t>y(성적) 평균</t>
    <phoneticPr fontId="5" type="noConversion"/>
  </si>
  <si>
    <t>기울기 구하는 공식</t>
    <phoneticPr fontId="5" type="noConversion"/>
  </si>
  <si>
    <t>x 편차</t>
    <phoneticPr fontId="5" type="noConversion"/>
  </si>
  <si>
    <t>y 편차</t>
    <phoneticPr fontId="5" type="noConversion"/>
  </si>
  <si>
    <t xml:space="preserve">a = </t>
    <phoneticPr fontId="5" type="noConversion"/>
  </si>
  <si>
    <t>x편차*y편차</t>
    <phoneticPr fontId="5" type="noConversion"/>
  </si>
  <si>
    <t>x편차 제곱</t>
    <phoneticPr fontId="5" type="noConversion"/>
  </si>
  <si>
    <t>y절편 공식</t>
    <phoneticPr fontId="5" type="noConversion"/>
  </si>
  <si>
    <t xml:space="preserve">b = </t>
    <phoneticPr fontId="5" type="noConversion"/>
  </si>
  <si>
    <t>y= 2.3 x + 79</t>
    <phoneticPr fontId="5" type="noConversion"/>
  </si>
  <si>
    <t>사람이 공식에 의한 구한 단순 선형 모델</t>
    <phoneticPr fontId="5" type="noConversion"/>
  </si>
  <si>
    <t>머신러닝은 임의의 선을 긋고 그 기울기를 조정해가면 오차가 가장 적은 기울기를 찾아나가야한다.</t>
    <phoneticPr fontId="5" type="noConversion"/>
  </si>
  <si>
    <t>임의로 머신이 예측한 선</t>
    <phoneticPr fontId="5" type="noConversion"/>
  </si>
  <si>
    <t xml:space="preserve"> 기울기</t>
    <phoneticPr fontId="5" type="noConversion"/>
  </si>
  <si>
    <t>y절편</t>
    <phoneticPr fontId="5" type="noConversion"/>
  </si>
  <si>
    <t>예측모델</t>
    <phoneticPr fontId="5" type="noConversion"/>
  </si>
  <si>
    <t>예측값</t>
    <phoneticPr fontId="5" type="noConversion"/>
  </si>
  <si>
    <t>y(실제성적, 
실제값)</t>
    <phoneticPr fontId="5" type="noConversion"/>
  </si>
  <si>
    <t>오차=
실제값-예측값</t>
    <phoneticPr fontId="5" type="noConversion"/>
  </si>
  <si>
    <t>mean absolute error
(mae)</t>
    <phoneticPr fontId="5" type="noConversion"/>
  </si>
  <si>
    <t>|오차|</t>
    <phoneticPr fontId="5" type="noConversion"/>
  </si>
  <si>
    <t>오차제곱</t>
    <phoneticPr fontId="5" type="noConversion"/>
  </si>
  <si>
    <t>mean squared error</t>
    <phoneticPr fontId="5" type="noConversion"/>
  </si>
  <si>
    <t>root mean squared error</t>
    <phoneticPr fontId="5" type="noConversion"/>
  </si>
  <si>
    <t>y= 3 x + 76</t>
    <phoneticPr fontId="5" type="noConversion"/>
  </si>
  <si>
    <t>경사하강법(gradient descent)</t>
    <phoneticPr fontId="5" type="noConversion"/>
  </si>
  <si>
    <t>x1</t>
    <phoneticPr fontId="5" type="noConversion"/>
  </si>
  <si>
    <t>x2</t>
    <phoneticPr fontId="5" type="noConversion"/>
  </si>
  <si>
    <t>x3</t>
    <phoneticPr fontId="5" type="noConversion"/>
  </si>
  <si>
    <t>샘플1</t>
    <phoneticPr fontId="5" type="noConversion"/>
  </si>
  <si>
    <t>샘플2</t>
    <phoneticPr fontId="5" type="noConversion"/>
  </si>
  <si>
    <t>샘플3</t>
    <phoneticPr fontId="5" type="noConversion"/>
  </si>
  <si>
    <t>샘플4</t>
    <phoneticPr fontId="5" type="noConversion"/>
  </si>
  <si>
    <t>입력(x)</t>
    <phoneticPr fontId="5" type="noConversion"/>
  </si>
  <si>
    <t>출력(y)</t>
    <phoneticPr fontId="5" type="noConversion"/>
  </si>
  <si>
    <t>OR 연산</t>
    <phoneticPr fontId="5" type="noConversion"/>
  </si>
  <si>
    <t>w3</t>
  </si>
  <si>
    <t>x0</t>
    <phoneticPr fontId="5" type="noConversion"/>
  </si>
  <si>
    <t>x1</t>
    <phoneticPr fontId="5" type="noConversion"/>
  </si>
  <si>
    <t>x2</t>
    <phoneticPr fontId="5" type="noConversion"/>
  </si>
  <si>
    <t>w0</t>
    <phoneticPr fontId="5" type="noConversion"/>
  </si>
  <si>
    <t>w1</t>
    <phoneticPr fontId="5" type="noConversion"/>
  </si>
  <si>
    <t>w2</t>
    <phoneticPr fontId="5" type="noConversion"/>
  </si>
  <si>
    <t>w0</t>
    <phoneticPr fontId="5" type="noConversion"/>
  </si>
  <si>
    <t>OR문제를 해결하는 최적의 weight(가중치)</t>
    <phoneticPr fontId="5" type="noConversion"/>
  </si>
  <si>
    <t>계단함수</t>
    <phoneticPr fontId="5" type="noConversion"/>
  </si>
  <si>
    <t>계단함수 적용 후</t>
    <phoneticPr fontId="5" type="noConversion"/>
  </si>
  <si>
    <t>출력값</t>
    <phoneticPr fontId="5" type="noConversion"/>
  </si>
  <si>
    <t>계단함수</t>
    <phoneticPr fontId="5" type="noConversion"/>
  </si>
  <si>
    <t>y</t>
    <phoneticPr fontId="5" type="noConversion"/>
  </si>
  <si>
    <t>y</t>
    <phoneticPr fontId="5" type="noConversion"/>
  </si>
  <si>
    <t>AND 연산</t>
    <phoneticPr fontId="5" type="noConversion"/>
  </si>
  <si>
    <t>OR 분류기</t>
    <phoneticPr fontId="5" type="noConversion"/>
  </si>
  <si>
    <t>AND문제를 해결하는 최적의 weight(가중치)</t>
    <phoneticPr fontId="5" type="noConversion"/>
  </si>
  <si>
    <t>AND 문제</t>
    <phoneticPr fontId="5" type="noConversion"/>
  </si>
  <si>
    <t>시그모이드 함수</t>
    <phoneticPr fontId="5" type="noConversion"/>
  </si>
  <si>
    <t>시그모이드 적용 후</t>
    <phoneticPr fontId="5" type="noConversion"/>
  </si>
  <si>
    <t>n1</t>
    <phoneticPr fontId="5" type="noConversion"/>
  </si>
  <si>
    <t>n2</t>
    <phoneticPr fontId="5" type="noConversion"/>
  </si>
  <si>
    <t>n1</t>
    <phoneticPr fontId="5" type="noConversion"/>
  </si>
  <si>
    <t>XOR문제를 해결하는 최적의 weight(가중치)</t>
    <phoneticPr fontId="5" type="noConversion"/>
  </si>
  <si>
    <t>b1</t>
  </si>
  <si>
    <t>정규화</t>
    <phoneticPr fontId="19" type="noConversion"/>
  </si>
  <si>
    <t>Normalization</t>
    <phoneticPr fontId="19" type="noConversion"/>
  </si>
  <si>
    <t>scikit-learn에 있다.</t>
    <phoneticPr fontId="19" type="noConversion"/>
  </si>
  <si>
    <t>1) 최소-최대 정규화</t>
    <phoneticPr fontId="19" type="noConversion"/>
  </si>
  <si>
    <t>Min-Max Normalization</t>
    <phoneticPr fontId="19" type="noConversion"/>
  </si>
  <si>
    <t>각 특성의 값을 0 과 1사이의 범위로 변환</t>
    <phoneticPr fontId="19" type="noConversion"/>
  </si>
  <si>
    <t>x1</t>
    <phoneticPr fontId="19" type="noConversion"/>
  </si>
  <si>
    <t>최대값</t>
    <phoneticPr fontId="19" type="noConversion"/>
  </si>
  <si>
    <t>최소값</t>
    <phoneticPr fontId="19" type="noConversion"/>
  </si>
  <si>
    <t>해당값-최소값</t>
    <phoneticPr fontId="19" type="noConversion"/>
  </si>
  <si>
    <t>data = [[-1, 2], [-0.5, 6], [0, 10], [1, 18]]</t>
    <phoneticPr fontId="19" type="noConversion"/>
  </si>
  <si>
    <t>최대값-최소값</t>
    <phoneticPr fontId="19" type="noConversion"/>
  </si>
  <si>
    <t>x1</t>
    <phoneticPr fontId="19" type="noConversion"/>
  </si>
  <si>
    <t>x2</t>
    <phoneticPr fontId="19" type="noConversion"/>
  </si>
  <si>
    <t>x'1</t>
    <phoneticPr fontId="19" type="noConversion"/>
  </si>
  <si>
    <t>x'2</t>
    <phoneticPr fontId="19" type="noConversion"/>
  </si>
  <si>
    <t>특징 간 척도 차이가 커서 정규화가 필요한 경우 유용.</t>
    <phoneticPr fontId="19" type="noConversion"/>
  </si>
  <si>
    <t>이상치에 민감할 수 있음.</t>
    <phoneticPr fontId="19" type="noConversion"/>
  </si>
  <si>
    <t xml:space="preserve">2) 표준화 (Z-score normalization) </t>
    <phoneticPr fontId="19" type="noConversion"/>
  </si>
  <si>
    <t>평균0, 표준편차1 로 변환</t>
    <phoneticPr fontId="19" type="noConversion"/>
  </si>
  <si>
    <t>키평균</t>
    <phoneticPr fontId="19" type="noConversion"/>
  </si>
  <si>
    <t>몸무게 평균</t>
    <phoneticPr fontId="19" type="noConversion"/>
  </si>
  <si>
    <t>키 편차</t>
    <phoneticPr fontId="19" type="noConversion"/>
  </si>
  <si>
    <t>몸무게 편차</t>
    <phoneticPr fontId="19" type="noConversion"/>
  </si>
  <si>
    <t>z값</t>
    <phoneticPr fontId="19" type="noConversion"/>
  </si>
  <si>
    <t>편차</t>
    <phoneticPr fontId="19" type="noConversion"/>
  </si>
  <si>
    <t>표준편차</t>
    <phoneticPr fontId="19" type="noConversion"/>
  </si>
  <si>
    <t>키에대한 
z값</t>
    <phoneticPr fontId="19" type="noConversion"/>
  </si>
  <si>
    <t>몸무게에 
대한 z값</t>
    <phoneticPr fontId="19" type="noConversion"/>
  </si>
  <si>
    <t xml:space="preserve">키 </t>
    <phoneticPr fontId="19" type="noConversion"/>
  </si>
  <si>
    <t>몸무게</t>
    <phoneticPr fontId="19" type="noConversion"/>
  </si>
  <si>
    <t>outlier (이상치)를 보고자 할때</t>
    <phoneticPr fontId="19" type="noConversion"/>
  </si>
  <si>
    <t>상자수염(boxplot)</t>
    <phoneticPr fontId="19" type="noConversion"/>
  </si>
  <si>
    <t>번호</t>
    <phoneticPr fontId="19" type="noConversion"/>
  </si>
  <si>
    <t>키</t>
    <phoneticPr fontId="19" type="noConversion"/>
  </si>
  <si>
    <t>최대값</t>
    <phoneticPr fontId="19" type="noConversion"/>
  </si>
  <si>
    <t>3사분위수</t>
    <phoneticPr fontId="19" type="noConversion"/>
  </si>
  <si>
    <t>평균</t>
    <phoneticPr fontId="19" type="noConversion"/>
  </si>
  <si>
    <t>중위수</t>
    <phoneticPr fontId="19" type="noConversion"/>
  </si>
  <si>
    <t>1사분위수</t>
    <phoneticPr fontId="19" type="noConversion"/>
  </si>
  <si>
    <t>최소값</t>
    <phoneticPr fontId="19" type="noConversion"/>
  </si>
  <si>
    <t>n2</t>
    <phoneticPr fontId="5" type="noConversion"/>
  </si>
  <si>
    <t>b2</t>
    <phoneticPr fontId="5" type="noConversion"/>
  </si>
  <si>
    <t>w4</t>
    <phoneticPr fontId="5" type="noConversion"/>
  </si>
  <si>
    <t>w5</t>
    <phoneticPr fontId="5" type="noConversion"/>
  </si>
  <si>
    <t>은닉층</t>
    <phoneticPr fontId="5" type="noConversion"/>
  </si>
  <si>
    <t>원하는값</t>
  </si>
  <si>
    <t>NAND</t>
    <phoneticPr fontId="5" type="noConversion"/>
  </si>
  <si>
    <t>AND 연산</t>
    <phoneticPr fontId="5" type="noConversion"/>
  </si>
  <si>
    <t>relu 함수</t>
    <phoneticPr fontId="5" type="noConversion"/>
  </si>
  <si>
    <t>x</t>
    <phoneticPr fontId="5" type="noConversion"/>
  </si>
  <si>
    <t>하이퍼볼릭 탄젠트 함수</t>
    <phoneticPr fontId="5" type="noConversion"/>
  </si>
  <si>
    <t>소프트플러스 함수</t>
    <phoneticPr fontId="5" type="noConversion"/>
  </si>
  <si>
    <t>y</t>
    <phoneticPr fontId="5" type="noConversion"/>
  </si>
  <si>
    <t>model=Sequential()</t>
  </si>
  <si>
    <r>
      <t>model.add(Dense(</t>
    </r>
    <r>
      <rPr>
        <sz val="11"/>
        <color rgb="FF098658"/>
        <rFont val="Consolas"/>
        <family val="3"/>
      </rPr>
      <t>30</t>
    </r>
    <r>
      <rPr>
        <sz val="11"/>
        <color rgb="FF000000"/>
        <rFont val="Consolas"/>
        <family val="3"/>
      </rPr>
      <t>, input_dim=</t>
    </r>
    <r>
      <rPr>
        <sz val="11"/>
        <color rgb="FF098658"/>
        <rFont val="Consolas"/>
        <family val="3"/>
      </rPr>
      <t>16</t>
    </r>
    <r>
      <rPr>
        <sz val="11"/>
        <color rgb="FF000000"/>
        <rFont val="Consolas"/>
        <family val="3"/>
      </rPr>
      <t>, activation=</t>
    </r>
    <r>
      <rPr>
        <sz val="11"/>
        <color rgb="FFA31515"/>
        <rFont val="Consolas"/>
        <family val="3"/>
      </rPr>
      <t>'relu'</t>
    </r>
    <r>
      <rPr>
        <sz val="11"/>
        <color rgb="FF000000"/>
        <rFont val="Consolas"/>
        <family val="3"/>
      </rPr>
      <t>))</t>
    </r>
  </si>
  <si>
    <r>
      <t>model.fit(X,y, epochs=</t>
    </r>
    <r>
      <rPr>
        <sz val="11"/>
        <color rgb="FF098658"/>
        <rFont val="Consolas"/>
        <family val="3"/>
      </rPr>
      <t>5</t>
    </r>
    <r>
      <rPr>
        <sz val="11"/>
        <color rgb="FF000000"/>
        <rFont val="Consolas"/>
        <family val="3"/>
      </rPr>
      <t>)</t>
    </r>
  </si>
  <si>
    <t xml:space="preserve">  Dense</t>
    <phoneticPr fontId="5" type="noConversion"/>
  </si>
  <si>
    <r>
      <t>x</t>
    </r>
    <r>
      <rPr>
        <vertAlign val="subscript"/>
        <sz val="11"/>
        <color theme="1"/>
        <rFont val="맑은 고딕"/>
        <family val="3"/>
        <charset val="129"/>
        <scheme val="minor"/>
      </rPr>
      <t>1</t>
    </r>
    <phoneticPr fontId="5" type="noConversion"/>
  </si>
  <si>
    <r>
      <t>x</t>
    </r>
    <r>
      <rPr>
        <vertAlign val="subscript"/>
        <sz val="11"/>
        <color theme="1"/>
        <rFont val="맑은 고딕"/>
        <family val="3"/>
        <charset val="129"/>
        <scheme val="minor"/>
      </rPr>
      <t>2</t>
    </r>
    <phoneticPr fontId="5" type="noConversion"/>
  </si>
  <si>
    <r>
      <t>x</t>
    </r>
    <r>
      <rPr>
        <vertAlign val="subscript"/>
        <sz val="11"/>
        <color theme="1"/>
        <rFont val="맑은 고딕"/>
        <family val="3"/>
        <charset val="129"/>
        <scheme val="minor"/>
      </rPr>
      <t>16</t>
    </r>
    <phoneticPr fontId="5" type="noConversion"/>
  </si>
  <si>
    <t>30개</t>
    <phoneticPr fontId="5" type="noConversion"/>
  </si>
  <si>
    <t>16개</t>
    <phoneticPr fontId="5" type="noConversion"/>
  </si>
  <si>
    <t>W1</t>
    <phoneticPr fontId="5" type="noConversion"/>
  </si>
  <si>
    <t>W2</t>
    <phoneticPr fontId="5" type="noConversion"/>
  </si>
  <si>
    <t>relu</t>
    <phoneticPr fontId="5" type="noConversion"/>
  </si>
  <si>
    <t>sigmod</t>
    <phoneticPr fontId="5" type="noConversion"/>
  </si>
  <si>
    <t>adam</t>
  </si>
  <si>
    <t>오차 발생</t>
    <phoneticPr fontId="5" type="noConversion"/>
  </si>
  <si>
    <t>분류</t>
    <phoneticPr fontId="5" type="noConversion"/>
  </si>
  <si>
    <t>숫자 예측</t>
    <phoneticPr fontId="5" type="noConversion"/>
  </si>
  <si>
    <t>rmse</t>
    <phoneticPr fontId="5" type="noConversion"/>
  </si>
  <si>
    <t>샘플1</t>
    <phoneticPr fontId="5" type="noConversion"/>
  </si>
  <si>
    <t>칼럼명1</t>
    <phoneticPr fontId="5" type="noConversion"/>
  </si>
  <si>
    <t>칼럼명2</t>
  </si>
  <si>
    <t>x1</t>
    <phoneticPr fontId="5" type="noConversion"/>
  </si>
  <si>
    <t>x2</t>
    <phoneticPr fontId="5" type="noConversion"/>
  </si>
  <si>
    <t>칼럼명…</t>
    <phoneticPr fontId="5" type="noConversion"/>
  </si>
  <si>
    <t>칼럼명16</t>
    <phoneticPr fontId="5" type="noConversion"/>
  </si>
  <si>
    <t>x16</t>
    <phoneticPr fontId="5" type="noConversion"/>
  </si>
  <si>
    <t>샘플2</t>
  </si>
  <si>
    <t>샘플3</t>
  </si>
  <si>
    <t>샘플470</t>
    <phoneticPr fontId="5" type="noConversion"/>
  </si>
  <si>
    <t xml:space="preserve">15는 </t>
    <phoneticPr fontId="5" type="noConversion"/>
  </si>
  <si>
    <t>이므로</t>
    <phoneticPr fontId="5" type="noConversion"/>
  </si>
  <si>
    <t>16*30</t>
    <phoneticPr fontId="5" type="noConversion"/>
  </si>
  <si>
    <t>bias 1개</t>
    <phoneticPr fontId="5" type="noConversion"/>
  </si>
  <si>
    <t>30*1</t>
    <phoneticPr fontId="5" type="noConversion"/>
  </si>
  <si>
    <t>bias 1개</t>
    <phoneticPr fontId="5" type="noConversion"/>
  </si>
  <si>
    <t>use_bias=True,</t>
  </si>
  <si>
    <t>신경망 모델에서 Optimizer 파라미터의 갯수가 1,084개가 나오는 과정을 단계별로 설명하겠습니다.</t>
    <phoneticPr fontId="5" type="noConversion"/>
  </si>
  <si>
    <t>Optimizer는 모델의 모든 학습 가능한 파라미터에 대해 최적화를 수행하므로, Optimizer가 다루는 파라미터의 수는 모델의 파라미터 수와 동일합니다.</t>
  </si>
  <si>
    <t>그러나 질문에서 주어진 모델의 파라미터 수는 1,084개로 나왔습니다. 이는 주어진 코드에서 계산된 파라미터 수의 두 배가 되는 값입니다. 이 차이는 Adam 옵티마이저의 특성에서 비롯됩니다.</t>
  </si>
  <si>
    <t>따라서:</t>
  </si>
  <si>
    <t>모델 파라미터 수: 541개</t>
  </si>
  <si>
    <t>이렇게 해서 최종적으로 Optimizer가 다루는 파라미터의 갯수는 1,084개가 됩니다.</t>
  </si>
  <si>
    <t>Adam 옵티마이저는 각 파라미터에 대해 1차 및 2차 모멘트(평균과 분산)를 추적하기 위해 추가적인 변수를 관리합니다. 즉, 모델의 각 파라미터에 대해 2개의 추가적인 파라미터가 생성</t>
    <phoneticPr fontId="5" type="noConversion"/>
  </si>
  <si>
    <t>Adam 옵티마이저가 관리하는 추가 파라미터 수: 541×2=1,082개</t>
    <phoneticPr fontId="5" type="noConversion"/>
  </si>
  <si>
    <t>최종 Optimizer 파라미터 수: 1,082+2개</t>
    <phoneticPr fontId="5" type="noConversion"/>
  </si>
  <si>
    <t>최종 파라미터</t>
    <phoneticPr fontId="5" type="noConversion"/>
  </si>
  <si>
    <t>폐암수술후 생존율예측</t>
    <phoneticPr fontId="5" type="noConversion"/>
  </si>
  <si>
    <t>피마인디언당뇨병예측</t>
    <phoneticPr fontId="5" type="noConversion"/>
  </si>
  <si>
    <t>x8</t>
    <phoneticPr fontId="5" type="noConversion"/>
  </si>
  <si>
    <t>샘플768</t>
    <phoneticPr fontId="5" type="noConversion"/>
  </si>
  <si>
    <t>칼럼명8</t>
    <phoneticPr fontId="5" type="noConversion"/>
  </si>
  <si>
    <t>x8</t>
    <phoneticPr fontId="5" type="noConversion"/>
  </si>
  <si>
    <t>8개</t>
    <phoneticPr fontId="5" type="noConversion"/>
  </si>
  <si>
    <r>
      <t>model.add(Dense(</t>
    </r>
    <r>
      <rPr>
        <sz val="11"/>
        <color rgb="FF098658"/>
        <rFont val="Consolas"/>
        <family val="3"/>
      </rPr>
      <t>12</t>
    </r>
    <r>
      <rPr>
        <sz val="11"/>
        <color rgb="FF000000"/>
        <rFont val="Consolas"/>
        <family val="3"/>
      </rPr>
      <t>, input_dim=</t>
    </r>
    <r>
      <rPr>
        <sz val="11"/>
        <color rgb="FF098658"/>
        <rFont val="Consolas"/>
        <family val="3"/>
      </rPr>
      <t>8</t>
    </r>
    <r>
      <rPr>
        <sz val="11"/>
        <color rgb="FF000000"/>
        <rFont val="Consolas"/>
        <family val="3"/>
      </rPr>
      <t>, activation=</t>
    </r>
    <r>
      <rPr>
        <sz val="11"/>
        <color rgb="FFA31515"/>
        <rFont val="Consolas"/>
        <family val="3"/>
      </rPr>
      <t>'relu'</t>
    </r>
    <r>
      <rPr>
        <sz val="11"/>
        <color rgb="FF000000"/>
        <rFont val="Consolas"/>
        <family val="3"/>
      </rPr>
      <t>))</t>
    </r>
    <phoneticPr fontId="5" type="noConversion"/>
  </si>
  <si>
    <t xml:space="preserve">  Dense1</t>
    <phoneticPr fontId="5" type="noConversion"/>
  </si>
  <si>
    <t xml:space="preserve">  Dense2</t>
    <phoneticPr fontId="5" type="noConversion"/>
  </si>
  <si>
    <t xml:space="preserve">  Dense3</t>
    <phoneticPr fontId="5" type="noConversion"/>
  </si>
  <si>
    <t>W3</t>
    <phoneticPr fontId="5" type="noConversion"/>
  </si>
  <si>
    <t>옵티마이저 파라미터 개수</t>
    <phoneticPr fontId="5" type="noConversion"/>
  </si>
  <si>
    <t>최종 파라미터 개수</t>
    <phoneticPr fontId="5" type="noConversion"/>
  </si>
  <si>
    <t>최적화에서 2차 미분, 즉 헤시안(Hessian) 행렬을 사용하는 이유</t>
    <phoneticPr fontId="5" type="noConversion"/>
  </si>
  <si>
    <t>2차 미분이 제공하는 정보가 최적화 과정에서 매우 유용하기 때문입니다. 특히, 함수의 곡률 정보를 제공하여 경사 하강법(Gradient Descent)과 같은 최적화 알고리즘의 수렴 속도를 크게 개선할 수 있습니다.</t>
    <phoneticPr fontId="5" type="noConversion"/>
  </si>
  <si>
    <r>
      <rPr>
        <b/>
        <sz val="12"/>
        <color rgb="FF202122"/>
        <rFont val="돋움"/>
        <family val="3"/>
        <charset val="129"/>
      </rPr>
      <t>성긴</t>
    </r>
    <r>
      <rPr>
        <b/>
        <sz val="12"/>
        <color rgb="FF202122"/>
        <rFont val="Arial"/>
        <family val="2"/>
      </rPr>
      <t xml:space="preserve"> </t>
    </r>
    <r>
      <rPr>
        <b/>
        <sz val="12"/>
        <color rgb="FF202122"/>
        <rFont val="돋움"/>
        <family val="3"/>
        <charset val="129"/>
      </rPr>
      <t>행렬</t>
    </r>
    <r>
      <rPr>
        <sz val="12"/>
        <color rgb="FF202122"/>
        <rFont val="Arial"/>
        <family val="2"/>
      </rPr>
      <t xml:space="preserve">(sparse matrix) </t>
    </r>
    <r>
      <rPr>
        <sz val="12"/>
        <color rgb="FF202122"/>
        <rFont val="돋움"/>
        <family val="3"/>
        <charset val="129"/>
      </rPr>
      <t>또는</t>
    </r>
    <r>
      <rPr>
        <sz val="12"/>
        <color rgb="FF202122"/>
        <rFont val="Arial"/>
        <family val="2"/>
      </rPr>
      <t> </t>
    </r>
    <r>
      <rPr>
        <b/>
        <sz val="12"/>
        <color rgb="FF202122"/>
        <rFont val="돋움"/>
        <family val="3"/>
        <charset val="129"/>
      </rPr>
      <t>희소행렬</t>
    </r>
    <r>
      <rPr>
        <sz val="12"/>
        <color rgb="FF202122"/>
        <rFont val="돋움"/>
        <family val="3"/>
        <charset val="129"/>
      </rPr>
      <t>은</t>
    </r>
    <r>
      <rPr>
        <sz val="12"/>
        <color rgb="FF202122"/>
        <rFont val="Arial"/>
        <family val="2"/>
      </rPr>
      <t> </t>
    </r>
    <r>
      <rPr>
        <sz val="12"/>
        <color theme="1"/>
        <rFont val="돋움"/>
        <family val="3"/>
        <charset val="129"/>
      </rPr>
      <t>행렬</t>
    </r>
    <r>
      <rPr>
        <sz val="12"/>
        <color rgb="FF202122"/>
        <rFont val="돋움"/>
        <family val="3"/>
        <charset val="129"/>
      </rPr>
      <t>의</t>
    </r>
    <r>
      <rPr>
        <sz val="12"/>
        <color rgb="FF202122"/>
        <rFont val="Arial"/>
        <family val="2"/>
      </rPr>
      <t xml:space="preserve"> </t>
    </r>
    <r>
      <rPr>
        <sz val="12"/>
        <color rgb="FF202122"/>
        <rFont val="돋움"/>
        <family val="3"/>
        <charset val="129"/>
      </rPr>
      <t>값이</t>
    </r>
    <r>
      <rPr>
        <sz val="12"/>
        <color rgb="FF202122"/>
        <rFont val="Arial"/>
        <family val="2"/>
      </rPr>
      <t xml:space="preserve"> </t>
    </r>
    <r>
      <rPr>
        <sz val="12"/>
        <color rgb="FF202122"/>
        <rFont val="돋움"/>
        <family val="3"/>
        <charset val="129"/>
      </rPr>
      <t>대부분</t>
    </r>
    <r>
      <rPr>
        <sz val="12"/>
        <color rgb="FF202122"/>
        <rFont val="Arial"/>
        <family val="2"/>
      </rPr>
      <t xml:space="preserve"> 0</t>
    </r>
    <r>
      <rPr>
        <sz val="12"/>
        <color rgb="FF202122"/>
        <rFont val="돋움"/>
        <family val="3"/>
        <charset val="129"/>
      </rPr>
      <t>인</t>
    </r>
    <r>
      <rPr>
        <sz val="12"/>
        <color rgb="FF202122"/>
        <rFont val="Arial"/>
        <family val="2"/>
      </rPr>
      <t xml:space="preserve"> </t>
    </r>
    <r>
      <rPr>
        <sz val="12"/>
        <color rgb="FF202122"/>
        <rFont val="돋움"/>
        <family val="3"/>
        <charset val="129"/>
      </rPr>
      <t>경우를</t>
    </r>
    <r>
      <rPr>
        <sz val="12"/>
        <color rgb="FF202122"/>
        <rFont val="Arial"/>
        <family val="2"/>
      </rPr>
      <t xml:space="preserve"> </t>
    </r>
    <r>
      <rPr>
        <sz val="12"/>
        <color rgb="FF202122"/>
        <rFont val="돋움"/>
        <family val="3"/>
        <charset val="129"/>
      </rPr>
      <t>가리키는</t>
    </r>
    <r>
      <rPr>
        <sz val="12"/>
        <color rgb="FF202122"/>
        <rFont val="Arial"/>
        <family val="2"/>
      </rPr>
      <t xml:space="preserve"> </t>
    </r>
    <r>
      <rPr>
        <sz val="12"/>
        <color rgb="FF202122"/>
        <rFont val="돋움"/>
        <family val="3"/>
        <charset val="129"/>
      </rPr>
      <t>표현이다</t>
    </r>
    <r>
      <rPr>
        <sz val="12"/>
        <color rgb="FF202122"/>
        <rFont val="Arial"/>
        <family val="2"/>
      </rPr>
      <t>.</t>
    </r>
    <r>
      <rPr>
        <vertAlign val="superscript"/>
        <sz val="10"/>
        <color rgb="FF202122"/>
        <rFont val="Arial"/>
        <family val="2"/>
      </rPr>
      <t>[1]</t>
    </r>
    <r>
      <rPr>
        <sz val="12"/>
        <color rgb="FF202122"/>
        <rFont val="Arial"/>
        <family val="2"/>
      </rPr>
      <t> </t>
    </r>
    <r>
      <rPr>
        <sz val="12"/>
        <color rgb="FF202122"/>
        <rFont val="돋움"/>
        <family val="3"/>
        <charset val="129"/>
      </rPr>
      <t>그와</t>
    </r>
    <r>
      <rPr>
        <sz val="12"/>
        <color rgb="FF202122"/>
        <rFont val="Arial"/>
        <family val="2"/>
      </rPr>
      <t xml:space="preserve"> </t>
    </r>
    <r>
      <rPr>
        <sz val="12"/>
        <color rgb="FF202122"/>
        <rFont val="돋움"/>
        <family val="3"/>
        <charset val="129"/>
      </rPr>
      <t>반대되는</t>
    </r>
    <r>
      <rPr>
        <sz val="12"/>
        <color rgb="FF202122"/>
        <rFont val="Arial"/>
        <family val="2"/>
      </rPr>
      <t xml:space="preserve"> </t>
    </r>
    <r>
      <rPr>
        <sz val="12"/>
        <color rgb="FF202122"/>
        <rFont val="돋움"/>
        <family val="3"/>
        <charset val="129"/>
      </rPr>
      <t>표현으로는</t>
    </r>
    <r>
      <rPr>
        <sz val="12"/>
        <color rgb="FF202122"/>
        <rFont val="Arial"/>
        <family val="2"/>
      </rPr>
      <t> </t>
    </r>
    <r>
      <rPr>
        <b/>
        <sz val="12"/>
        <color rgb="FF202122"/>
        <rFont val="돋움"/>
        <family val="3"/>
        <charset val="129"/>
      </rPr>
      <t>밀집행렬</t>
    </r>
    <r>
      <rPr>
        <sz val="12"/>
        <color rgb="FF202122"/>
        <rFont val="Arial"/>
        <family val="2"/>
      </rPr>
      <t>(dense matrix), </t>
    </r>
    <r>
      <rPr>
        <b/>
        <sz val="12"/>
        <color rgb="FF202122"/>
        <rFont val="돋움"/>
        <family val="3"/>
        <charset val="129"/>
      </rPr>
      <t>조밀행렬</t>
    </r>
    <r>
      <rPr>
        <sz val="12"/>
        <color rgb="FF202122"/>
        <rFont val="돋움"/>
        <family val="3"/>
        <charset val="129"/>
      </rPr>
      <t>이</t>
    </r>
    <r>
      <rPr>
        <sz val="12"/>
        <color rgb="FF202122"/>
        <rFont val="Arial"/>
        <family val="2"/>
      </rPr>
      <t xml:space="preserve"> </t>
    </r>
    <r>
      <rPr>
        <sz val="12"/>
        <color rgb="FF202122"/>
        <rFont val="돋움"/>
        <family val="3"/>
        <charset val="129"/>
      </rPr>
      <t>사용된다</t>
    </r>
    <r>
      <rPr>
        <sz val="12"/>
        <color rgb="FF202122"/>
        <rFont val="Arial"/>
        <family val="2"/>
      </rPr>
      <t>.</t>
    </r>
    <phoneticPr fontId="5" type="noConversion"/>
  </si>
  <si>
    <t>희소행렬</t>
  </si>
  <si>
    <r>
      <t>model.add(Dense(</t>
    </r>
    <r>
      <rPr>
        <sz val="11"/>
        <color rgb="FF098658"/>
        <rFont val="Consolas"/>
        <family val="3"/>
      </rPr>
      <t>12</t>
    </r>
    <r>
      <rPr>
        <sz val="11"/>
        <color rgb="FF000000"/>
        <rFont val="Consolas"/>
        <family val="3"/>
      </rPr>
      <t>, input_dim=4, activation=</t>
    </r>
    <r>
      <rPr>
        <sz val="11"/>
        <color rgb="FFA31515"/>
        <rFont val="Consolas"/>
        <family val="3"/>
      </rPr>
      <t>'relu'</t>
    </r>
    <r>
      <rPr>
        <sz val="11"/>
        <color rgb="FF000000"/>
        <rFont val="Consolas"/>
        <family val="3"/>
      </rPr>
      <t>))</t>
    </r>
    <phoneticPr fontId="5" type="noConversion"/>
  </si>
  <si>
    <r>
      <t>x</t>
    </r>
    <r>
      <rPr>
        <vertAlign val="subscript"/>
        <sz val="11"/>
        <color theme="1"/>
        <rFont val="맑은 고딕"/>
        <family val="3"/>
        <charset val="129"/>
        <scheme val="minor"/>
      </rPr>
      <t>3</t>
    </r>
    <phoneticPr fontId="5" type="noConversion"/>
  </si>
  <si>
    <r>
      <t>x</t>
    </r>
    <r>
      <rPr>
        <vertAlign val="subscript"/>
        <sz val="11"/>
        <color theme="1"/>
        <rFont val="맑은 고딕"/>
        <family val="3"/>
        <charset val="129"/>
        <scheme val="minor"/>
      </rPr>
      <t>4</t>
    </r>
    <phoneticPr fontId="5" type="noConversion"/>
  </si>
  <si>
    <t>아이리스품종분류</t>
    <phoneticPr fontId="5" type="noConversion"/>
  </si>
  <si>
    <r>
      <t>model.add(Dense(8, activation=</t>
    </r>
    <r>
      <rPr>
        <sz val="11"/>
        <color rgb="FFA31515"/>
        <rFont val="Consolas"/>
        <family val="3"/>
      </rPr>
      <t>'relu'</t>
    </r>
    <r>
      <rPr>
        <sz val="11"/>
        <color rgb="FF000000"/>
        <rFont val="Consolas"/>
        <family val="3"/>
      </rPr>
      <t>))</t>
    </r>
    <phoneticPr fontId="5" type="noConversion"/>
  </si>
  <si>
    <t>softmax</t>
    <phoneticPr fontId="5" type="noConversion"/>
  </si>
  <si>
    <t>세토사일 확률</t>
    <phoneticPr fontId="5" type="noConversion"/>
  </si>
  <si>
    <t>버지칼라일 확률</t>
    <phoneticPr fontId="5" type="noConversion"/>
  </si>
  <si>
    <t>버지니카일 확률</t>
    <phoneticPr fontId="5" type="noConversion"/>
  </si>
  <si>
    <t>odds</t>
    <phoneticPr fontId="5" type="noConversion"/>
  </si>
  <si>
    <t>성공확률</t>
    <phoneticPr fontId="5" type="noConversion"/>
  </si>
  <si>
    <t>실패확률</t>
    <phoneticPr fontId="5" type="noConversion"/>
  </si>
  <si>
    <t>p</t>
    <phoneticPr fontId="5" type="noConversion"/>
  </si>
  <si>
    <t>1-p</t>
    <phoneticPr fontId="5" type="noConversion"/>
  </si>
  <si>
    <t>세토사</t>
    <phoneticPr fontId="5" type="noConversion"/>
  </si>
  <si>
    <t>버지컬러</t>
    <phoneticPr fontId="5" type="noConversion"/>
  </si>
  <si>
    <t>버지니카</t>
    <phoneticPr fontId="5" type="noConversion"/>
  </si>
  <si>
    <t>odds에 log씌운값을 로짓(logit)이라함</t>
    <phoneticPr fontId="5" type="noConversion"/>
  </si>
  <si>
    <t>로짓 벡터</t>
    <phoneticPr fontId="5" type="noConversion"/>
  </si>
  <si>
    <t>로짓 벡터에 다시 시그모이드 함수를 적용</t>
    <phoneticPr fontId="5" type="noConversion"/>
  </si>
  <si>
    <t>최종 확률로 변환이 됨</t>
    <phoneticPr fontId="5" type="noConversion"/>
  </si>
  <si>
    <t>로짓 벡터는 모델이 각 클래스(카테고리)에 대해 계산한 점수</t>
    <phoneticPr fontId="5" type="noConversion"/>
  </si>
  <si>
    <t>소프트맥스 함수 정의</t>
    <phoneticPr fontId="5" type="noConversion"/>
  </si>
  <si>
    <t>로짓벡터에 대해 지수함수  적용</t>
    <phoneticPr fontId="5" type="noConversion"/>
  </si>
  <si>
    <t>지수 값들의 함 계산</t>
    <phoneticPr fontId="5" type="noConversion"/>
  </si>
  <si>
    <t>각 클래스에 대해 소프트맥스 확률 계산</t>
    <phoneticPr fontId="5" type="noConversion"/>
  </si>
  <si>
    <t>로지스틱회귀랑 연결이 됨</t>
    <phoneticPr fontId="5" type="noConversion"/>
  </si>
  <si>
    <t>소프트 맥스 함수 설계</t>
    <phoneticPr fontId="5" type="noConversion"/>
  </si>
  <si>
    <t>활성화 함수시트의 소프트 맥스 함수 참조</t>
    <phoneticPr fontId="5" type="noConversion"/>
  </si>
  <si>
    <t>테스트 데이터 셋 3</t>
    <phoneticPr fontId="5" type="noConversion"/>
  </si>
  <si>
    <t>y(정답)</t>
    <phoneticPr fontId="5" type="noConversion"/>
  </si>
  <si>
    <t>훈련 데이터 셋    7</t>
    <phoneticPr fontId="5" type="noConversion"/>
  </si>
  <si>
    <t>모델</t>
    <phoneticPr fontId="5" type="noConversion"/>
  </si>
  <si>
    <t>테스트 데이터셋으로 모델을 테스트했을 때의 정확도가 좋아야(일반화가 잘 됨) 좋은 모델이됨</t>
    <phoneticPr fontId="5" type="noConversion"/>
  </si>
  <si>
    <t>Hold-out 방법</t>
  </si>
  <si>
    <t>y_test</t>
    <phoneticPr fontId="5" type="noConversion"/>
  </si>
  <si>
    <t>광석인지여부 판별</t>
    <phoneticPr fontId="5" type="noConversion"/>
  </si>
  <si>
    <r>
      <t>x</t>
    </r>
    <r>
      <rPr>
        <vertAlign val="subscript"/>
        <sz val="11"/>
        <color theme="1"/>
        <rFont val="맑은 고딕"/>
        <family val="3"/>
        <charset val="129"/>
        <scheme val="minor"/>
      </rPr>
      <t>60</t>
    </r>
    <phoneticPr fontId="5" type="noConversion"/>
  </si>
  <si>
    <t>: 하나로 시작해도 뉴런 개수가 충분하면 아주 복잡한 함수도 모델링 할 수 있습니다. 복잡한 문제에서는 심층 신경망이 얕은 신경망보다 파라미터 효율성이 훨씬 좋습니다.</t>
  </si>
  <si>
    <t>하나 또는 두개의 은닉층 만으로도 많은 문제를 해결합니다. 비슷한 작업에서 가장 뛰어난 성능을 낸 미리 훈련된 네트워크 일부를 재사용하는 것이 일반적</t>
  </si>
  <si>
    <t>은닉층 개수</t>
    <phoneticPr fontId="5" type="noConversion"/>
  </si>
  <si>
    <t>은닉층 뉴런 개수</t>
  </si>
  <si>
    <t>신경망 하이퍼파라미터 튜닝</t>
    <phoneticPr fontId="5" type="noConversion"/>
  </si>
  <si>
    <t>첫번째 300개 두번째 200개, 세번째는 100개의 뉴런으로 구성된 은닉층을 가집니다.</t>
  </si>
  <si>
    <t>요즘에는 대부분 모든 은닉층에 같은 크기를 사용해도 동일하거나 더 나은 성능을 냅니다. 
데이터셋에 따라 다르지만 다른 은닉층보다 첫 번째 은닉층을 크게 하는 것이 도움이 됩니다.</t>
  </si>
  <si>
    <t xml:space="preserve">MNIST </t>
  </si>
  <si>
    <r>
      <t>model.add(Dense(36, input_dim=60, activation=</t>
    </r>
    <r>
      <rPr>
        <sz val="11"/>
        <color rgb="FFA31515"/>
        <rFont val="Consolas"/>
        <family val="3"/>
      </rPr>
      <t>'relu'</t>
    </r>
    <r>
      <rPr>
        <sz val="11"/>
        <color rgb="FF000000"/>
        <rFont val="Consolas"/>
        <family val="3"/>
      </rPr>
      <t>))</t>
    </r>
    <phoneticPr fontId="5" type="noConversion"/>
  </si>
  <si>
    <r>
      <t>model.add(Dense(18, activation=</t>
    </r>
    <r>
      <rPr>
        <sz val="11"/>
        <color rgb="FFA31515"/>
        <rFont val="Consolas"/>
        <family val="3"/>
      </rPr>
      <t>'relu'</t>
    </r>
    <r>
      <rPr>
        <sz val="11"/>
        <color rgb="FF000000"/>
        <rFont val="Consolas"/>
        <family val="3"/>
      </rPr>
      <t>))</t>
    </r>
    <phoneticPr fontId="5" type="noConversion"/>
  </si>
  <si>
    <t>model.fit(X,y, epochs=200)</t>
    <phoneticPr fontId="5" type="noConversion"/>
  </si>
  <si>
    <t>광석</t>
    <phoneticPr fontId="5" type="noConversion"/>
  </si>
  <si>
    <t>암석</t>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</si>
  <si>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</si>
  <si>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r>
      <t>model.add(Dense(1</t>
    </r>
    <r>
      <rPr>
        <sz val="11"/>
        <color rgb="FF098658"/>
        <rFont val="Consolas"/>
        <family val="3"/>
      </rPr>
      <t>, activation='sigmoid'))</t>
    </r>
    <r>
      <rPr>
        <sz val="11"/>
        <color rgb="FF000000"/>
        <rFont val="Consolas"/>
        <family val="3"/>
      </rPr>
      <t/>
    </r>
    <phoneticPr fontId="5" type="noConversion"/>
  </si>
  <si>
    <r>
      <t>model.add(Dense(3</t>
    </r>
    <r>
      <rPr>
        <sz val="11"/>
        <color rgb="FF098658"/>
        <rFont val="Consolas"/>
        <family val="3"/>
      </rPr>
      <t>, activation='sigmoid'))</t>
    </r>
    <r>
      <rPr>
        <sz val="11"/>
        <color rgb="FF000000"/>
        <rFont val="Consolas"/>
        <family val="3"/>
      </rPr>
      <t/>
    </r>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</si>
  <si>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</si>
  <si>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r>
      <t>model.add(Dense(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</si>
  <si>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</si>
  <si>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r>
      <t>model.add(Dense(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</si>
  <si>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</si>
  <si>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t>X_train</t>
    <phoneticPr fontId="5" type="noConversion"/>
  </si>
  <si>
    <t>X_test</t>
    <phoneticPr fontId="5" type="noConversion"/>
  </si>
  <si>
    <t>y_train</t>
    <phoneticPr fontId="5" type="noConversion"/>
  </si>
  <si>
    <t>교차 검증 방법</t>
    <phoneticPr fontId="5" type="noConversion"/>
  </si>
  <si>
    <r>
      <t>HDF5</t>
    </r>
    <r>
      <rPr>
        <b/>
        <sz val="14.3"/>
        <color rgb="FF24292F"/>
        <rFont val="돋움"/>
        <family val="3"/>
        <charset val="129"/>
      </rPr>
      <t>의</t>
    </r>
    <r>
      <rPr>
        <b/>
        <sz val="14.3"/>
        <color rgb="FF24292F"/>
        <rFont val="Arial"/>
        <family val="2"/>
      </rPr>
      <t xml:space="preserve"> </t>
    </r>
    <r>
      <rPr>
        <b/>
        <sz val="14.3"/>
        <color rgb="FF24292F"/>
        <rFont val="돋움"/>
        <family val="3"/>
        <charset val="129"/>
      </rPr>
      <t>특징</t>
    </r>
    <phoneticPr fontId="5" type="noConversion"/>
  </si>
  <si>
    <t>HDF5</t>
    <phoneticPr fontId="5" type="noConversion"/>
  </si>
  <si>
    <t>HDF5를 이해하는 가장 중요한 개념은 그룹(Group), 데이터셋(Dataset), 속성(attribute)이다. 디렉토리 구조와 비슷한데, 그룹=디렉토리, 데이터셋=파일로 이해하면 쉽다. 속성은 일종의 메타데이터로 그룹이나 데이터셋을 부연 설명하는 것을 의미한다. HDF5 파일을 생성하면 먼저 /라는 루트 그룹이 생성되고 그 하위에 트리 구조로 다른 그룹을 생성할 수 있다. 그룹하위에 다른 그룹이 있을 수도 있고, 데이터셋이 존재할 수도 있다. 즉 완전히 운영체계의 디렉토리-파일 구조와 일치한다. 또 다른 특징은 속성인데 속성은 데이터셋이나 그룹을 설명하는데 사용하는데 이를 사용자가 정의하게 된다. 정리하면 HDF5는 Hierarchical Data Format이며 self-describing이 되는 고성능 데이터포맷 또는 DB 정도로 이해할 수 있다. 운영체계와 무관하게 사용할 수 있으며, 대용량 데이터를 빠르게 읽고 쓸 수 있다.</t>
  </si>
  <si>
    <t>k=5</t>
    <phoneticPr fontId="5" type="noConversion"/>
  </si>
  <si>
    <t>행 208개</t>
    <phoneticPr fontId="5" type="noConversion"/>
  </si>
  <si>
    <t>훈련데이터</t>
    <phoneticPr fontId="5" type="noConversion"/>
  </si>
  <si>
    <t>검증(테스트)데이터</t>
    <phoneticPr fontId="5" type="noConversion"/>
  </si>
  <si>
    <t>테스트데이터로 평가한 모델 정확도</t>
    <phoneticPr fontId="5" type="noConversion"/>
  </si>
  <si>
    <t>검증용 데이터로 검증한 최종 모델 정확도</t>
    <phoneticPr fontId="5" type="noConversion"/>
  </si>
  <si>
    <t>%</t>
    <phoneticPr fontId="5" type="noConversion"/>
  </si>
  <si>
    <t>와인종류(레드,화이트) 판별</t>
    <phoneticPr fontId="5" type="noConversion"/>
  </si>
  <si>
    <r>
      <t>model.add(Dense(36, input_dim=12, activation=</t>
    </r>
    <r>
      <rPr>
        <sz val="11"/>
        <color rgb="FFA31515"/>
        <rFont val="Consolas"/>
        <family val="3"/>
      </rPr>
      <t>'relu'</t>
    </r>
    <r>
      <rPr>
        <sz val="11"/>
        <color rgb="FF000000"/>
        <rFont val="Consolas"/>
        <family val="3"/>
      </rPr>
      <t>))</t>
    </r>
    <phoneticPr fontId="5" type="noConversion"/>
  </si>
  <si>
    <r>
      <t>model.add(Dense(12, activation=</t>
    </r>
    <r>
      <rPr>
        <sz val="11"/>
        <color rgb="FFA31515"/>
        <rFont val="Consolas"/>
        <family val="3"/>
      </rPr>
      <t>'relu'</t>
    </r>
    <r>
      <rPr>
        <sz val="11"/>
        <color rgb="FF000000"/>
        <rFont val="Consolas"/>
        <family val="3"/>
      </rPr>
      <t>))</t>
    </r>
    <phoneticPr fontId="5" type="noConversion"/>
  </si>
  <si>
    <t>model.add(Dense(8, activation='relu'))</t>
    <phoneticPr fontId="5" type="noConversion"/>
  </si>
  <si>
    <r>
      <t>x</t>
    </r>
    <r>
      <rPr>
        <vertAlign val="subscript"/>
        <sz val="11"/>
        <color theme="1"/>
        <rFont val="맑은 고딕"/>
        <family val="3"/>
        <charset val="129"/>
        <scheme val="minor"/>
      </rPr>
      <t>12</t>
    </r>
    <phoneticPr fontId="5" type="noConversion"/>
  </si>
  <si>
    <r>
      <t xml:space="preserve">model.fit(X,y, epochs=200, batch_size=500, </t>
    </r>
    <r>
      <rPr>
        <b/>
        <sz val="11"/>
        <color rgb="FFFF0000"/>
        <rFont val="Consolas"/>
        <family val="3"/>
      </rPr>
      <t>validation_split=0.25</t>
    </r>
    <r>
      <rPr>
        <sz val="11"/>
        <color rgb="FF000000"/>
        <rFont val="Consolas"/>
        <family val="3"/>
      </rPr>
      <t>)</t>
    </r>
    <phoneticPr fontId="5" type="noConversion"/>
  </si>
  <si>
    <t>텐서플로우(TensorFlow)와 사이킷런(scikit-learn)은 서로 다른 목적과 용도로 설계된 라이브러리입니다. 딥러닝 모델을 구축할 때 텐서플로우를 사용하는 것이 일반적이지만, 사이킷런은 여전히 여러 상황에서 중요한 역할을 할 수 있습니다. 따라서 두 라이브러리를 적절히 비교하고 사용 목적에 따라 선택하는 것이 중요합니다.</t>
  </si>
  <si>
    <r>
      <t>1. 모델의 복잡성</t>
    </r>
    <r>
      <rPr>
        <sz val="11"/>
        <color theme="1"/>
        <rFont val="맑은 고딕"/>
        <family val="2"/>
        <scheme val="minor"/>
      </rPr>
      <t>: 텐서플로우는 복잡하고 깊은 신경망 모델을 설계하고 훈련시키는 데 뛰어납니다. 만약 딥러닝 모델이 높은 성능을 보인다면 사이킷런의 전통적인 머신러닝 알고리즘(예: 랜덤 포레스트, SVM)을 사용하지 않을 이유가 있어 보일 수 있습니다. 그러나 사이킷런의 모델은 딥러닝보다 훨씬 가볍고 해석이 용이한 경우가 많습니다. 단순한 모델이나 작은 데이터셋에서는 사이킷런 모델이 더 적합할 수 있습니다.</t>
    </r>
  </si>
  <si>
    <r>
      <t>2. 훈련 시간 및 자원</t>
    </r>
    <r>
      <rPr>
        <sz val="11"/>
        <color theme="1"/>
        <rFont val="맑은 고딕"/>
        <family val="2"/>
        <scheme val="minor"/>
      </rPr>
      <t>: 텐서플로우 기반의 딥러닝 모델은 훈련하는 데 많은 시간이 걸리고, GPU 등의 강력한 하드웨어 자원이 필요할 수 있습니다. 반면, 사이킷런 모델은 상대적으로 가벼워 더 빠르게 훈련할 수 있으며, CPU만으로도 충분히 실행 가능합니다.</t>
    </r>
  </si>
  <si>
    <r>
      <t>3. 해석 가능성</t>
    </r>
    <r>
      <rPr>
        <sz val="11"/>
        <color theme="1"/>
        <rFont val="맑은 고딕"/>
        <family val="2"/>
        <scheme val="minor"/>
      </rPr>
      <t>: 사이킷런의 모델은 일반적으로 해석하기가 더 쉽습니다. 예를 들어, 로지스틱 회귀나 결정 트리와 같은 모델은 결과를 해석하고 변수의 중요도를 파악하는 데 유리합니다. 텐서플로우의 딥러닝 모델은 대개 "블랙박스" 모델로 간주되며, 그 내부 구조를 이해하기가 어렵습니다.</t>
    </r>
  </si>
  <si>
    <r>
      <t>4. 적용 범위</t>
    </r>
    <r>
      <rPr>
        <sz val="11"/>
        <color theme="1"/>
        <rFont val="맑은 고딕"/>
        <family val="2"/>
        <scheme val="minor"/>
      </rPr>
      <t>: 사이킷런은 회귀, 분류, 군집화, 차원 축소 등 다양한 머신러닝 기법을 포괄적으로 지원하며, 데이터 전처리나 모델 평가 등의 다양한 기능을 제공합니다. 반면, 텐서플로우는 딥러닝 모델을 구축하는 데 중점을 둡니다.</t>
    </r>
  </si>
  <si>
    <t>따라서 딥러닝 모델이 사이킷런 모델보다 성능이 좋다고 해서 항상 텐서플로우만 사용하는 것이 좋은 선택은 아닙니다. 프로젝트의 목적, 데이터의 크기와 복잡성, 모델 해석의 필요성 등을 고려하여 어떤 라이브러리를 사용할지 결정하는 것이 중요합니다.</t>
  </si>
  <si>
    <t>6497 X 12</t>
    <phoneticPr fontId="5" type="noConversion"/>
  </si>
  <si>
    <t>와인</t>
    <phoneticPr fontId="5" type="noConversion"/>
  </si>
  <si>
    <t>5197 X 12</t>
    <phoneticPr fontId="5" type="noConversion"/>
  </si>
  <si>
    <t>모델 테스트용</t>
    <phoneticPr fontId="5" type="noConversion"/>
  </si>
  <si>
    <t>모델 검증용</t>
    <phoneticPr fontId="5" type="noConversion"/>
  </si>
  <si>
    <t>500번 반복하면서</t>
    <phoneticPr fontId="5" type="noConversion"/>
  </si>
  <si>
    <t>validation_loss</t>
    <phoneticPr fontId="5" type="noConversion"/>
  </si>
  <si>
    <t>훈련셋</t>
    <phoneticPr fontId="5" type="noConversion"/>
  </si>
  <si>
    <t>validation_accuracy</t>
    <phoneticPr fontId="5" type="noConversion"/>
  </si>
  <si>
    <t>텐서플로우 2.x에서는 .kears로 새로운 모젤 저장 포맷 변경</t>
    <phoneticPr fontId="5" type="noConversion"/>
  </si>
  <si>
    <t>사이킷런 vs 텐서플로우</t>
    <phoneticPr fontId="5" type="noConversion"/>
  </si>
  <si>
    <t>y값이 두가지 부류일 경우(예, 도미와 빙어)</t>
    <phoneticPr fontId="5" type="noConversion"/>
  </si>
  <si>
    <t>두 가지 부류(클래스)의 비율이 일정하지 않다면</t>
    <phoneticPr fontId="5" type="noConversion"/>
  </si>
  <si>
    <t>데이터셋을 구분할 경우(train_test_split)</t>
    <phoneticPr fontId="5" type="noConversion"/>
  </si>
  <si>
    <t>모델이 일부 샘플을 올바르게 학습할 수 없습니다.</t>
    <phoneticPr fontId="5" type="noConversion"/>
  </si>
  <si>
    <t>stratify 매개변수에 타겟 데이터(y)를 전달하면 클래스 비율에</t>
    <phoneticPr fontId="5" type="noConversion"/>
  </si>
  <si>
    <t>맞게 데이터를 나눔, 특정 클래스의 샘플이 적을 때 유용</t>
    <phoneticPr fontId="5" type="noConversion"/>
  </si>
  <si>
    <t>비례 층화 표본추출</t>
    <phoneticPr fontId="5" type="noConversion"/>
  </si>
  <si>
    <t>다항회귀</t>
    <phoneticPr fontId="5" type="noConversion"/>
  </si>
  <si>
    <t>다중회귀</t>
    <phoneticPr fontId="5" type="noConversion"/>
  </si>
  <si>
    <t>변수의 개수가 늘어남, 변수간의 상호(교호) 작용 포함됨</t>
    <phoneticPr fontId="5" type="noConversion"/>
  </si>
  <si>
    <t>변수 1개일 경우</t>
    <phoneticPr fontId="5" type="noConversion"/>
  </si>
  <si>
    <t>단순선형(직선)-모델이 과소적합일 경우 다항회귀(곡선)를 검토</t>
    <phoneticPr fontId="5" type="noConversion"/>
  </si>
  <si>
    <t xml:space="preserve">múltiple regréssion </t>
    <phoneticPr fontId="5" type="noConversion"/>
  </si>
  <si>
    <t>x1</t>
    <phoneticPr fontId="5" type="noConversion"/>
  </si>
  <si>
    <t>length</t>
    <phoneticPr fontId="5" type="noConversion"/>
  </si>
  <si>
    <t>x2</t>
  </si>
  <si>
    <t>x3</t>
  </si>
  <si>
    <t>height</t>
    <phoneticPr fontId="5" type="noConversion"/>
  </si>
  <si>
    <t>width</t>
    <phoneticPr fontId="5" type="noConversion"/>
  </si>
  <si>
    <t>여러 개의 독립 변수를 사용하여 종속 변수를 예측하는 회귀 분석 방법입니다.</t>
  </si>
  <si>
    <t>Polynomial Regression</t>
  </si>
  <si>
    <t>독립 변수와 종속 변수 간의 관계가 비선형적일 때, 독립 변수의 다항식을 사용하여 회귀 분석을 수행하는 방법입니다.</t>
  </si>
  <si>
    <t>변수가 3개일 경우</t>
    <phoneticPr fontId="5" type="noConversion"/>
  </si>
  <si>
    <t>원래 변수</t>
    <phoneticPr fontId="5" type="noConversion"/>
  </si>
  <si>
    <t>3개</t>
    <phoneticPr fontId="5" type="noConversion"/>
  </si>
  <si>
    <t>변수^2</t>
    <phoneticPr fontId="5" type="noConversion"/>
  </si>
  <si>
    <t>3개</t>
    <phoneticPr fontId="5" type="noConversion"/>
  </si>
  <si>
    <t>변수끼리 곱한항</t>
    <phoneticPr fontId="5" type="noConversion"/>
  </si>
  <si>
    <t>x1*x2</t>
    <phoneticPr fontId="5" type="noConversion"/>
  </si>
  <si>
    <t>x1*x3</t>
  </si>
  <si>
    <t>x2*x3</t>
    <phoneticPr fontId="5" type="noConversion"/>
  </si>
  <si>
    <t>총 9개</t>
    <phoneticPr fontId="5" type="noConversion"/>
  </si>
  <si>
    <t>9개</t>
    <phoneticPr fontId="5" type="noConversion"/>
  </si>
  <si>
    <t>바이어스(y절편)</t>
    <phoneticPr fontId="5" type="noConversion"/>
  </si>
  <si>
    <t>에 따라 1개가 추가될 수도 있다.</t>
    <phoneticPr fontId="5" type="noConversion"/>
  </si>
  <si>
    <t>로지스틱회귀모델</t>
    <phoneticPr fontId="5" type="noConversion"/>
  </si>
  <si>
    <t>이진분류</t>
    <phoneticPr fontId="5" type="noConversion"/>
  </si>
  <si>
    <t>x값은 정규화</t>
    <phoneticPr fontId="5" type="noConversion"/>
  </si>
  <si>
    <t>y값을 찾고 부류는 두가지</t>
    <phoneticPr fontId="5" type="noConversion"/>
  </si>
  <si>
    <r>
      <t>from</t>
    </r>
    <r>
      <rPr>
        <sz val="11"/>
        <color rgb="FF000000"/>
        <rFont val="Consolas"/>
        <family val="3"/>
      </rPr>
      <t xml:space="preserve"> sklearn.linear_model </t>
    </r>
    <r>
      <rPr>
        <sz val="11"/>
        <color rgb="FF0000FF"/>
        <rFont val="Consolas"/>
        <family val="3"/>
      </rPr>
      <t>import</t>
    </r>
    <r>
      <rPr>
        <sz val="11"/>
        <color rgb="FF000000"/>
        <rFont val="Consolas"/>
        <family val="3"/>
      </rPr>
      <t xml:space="preserve"> LogisticRegression</t>
    </r>
  </si>
  <si>
    <t>lr = LogisticRegression()</t>
  </si>
  <si>
    <t>train_bream_smelt</t>
  </si>
  <si>
    <t>lr.fit(train_bream_smelt, target_bream_smelt)</t>
    <phoneticPr fontId="5" type="noConversion"/>
  </si>
  <si>
    <t>target_bream_smelt</t>
  </si>
  <si>
    <t>사이킷런에서는 편리하게 문자열로된 타겟값을 그대로 사용할 수 있다.</t>
    <phoneticPr fontId="5" type="noConversion"/>
  </si>
  <si>
    <t>규제</t>
    <phoneticPr fontId="5" type="noConversion"/>
  </si>
  <si>
    <t>C</t>
    <phoneticPr fontId="5" type="noConversion"/>
  </si>
  <si>
    <t>complexity</t>
    <phoneticPr fontId="5" type="noConversion"/>
  </si>
  <si>
    <t>Inverse of regularization strength</t>
  </si>
  <si>
    <t>매개변수</t>
    <phoneticPr fontId="5" type="noConversion"/>
  </si>
  <si>
    <t>tree 모델</t>
    <phoneticPr fontId="5" type="noConversion"/>
  </si>
  <si>
    <t>의사결정나무</t>
    <phoneticPr fontId="5" type="noConversion"/>
  </si>
  <si>
    <t>지니 지수 구하기</t>
    <phoneticPr fontId="5" type="noConversion"/>
  </si>
  <si>
    <t>엔트로피 지수 구하기</t>
    <phoneticPr fontId="5" type="noConversion"/>
  </si>
  <si>
    <t>가젤 확률</t>
    <phoneticPr fontId="5" type="noConversion"/>
  </si>
  <si>
    <t>코뿔소 확률</t>
    <phoneticPr fontId="5" type="noConversion"/>
  </si>
  <si>
    <t>타조 확률</t>
    <phoneticPr fontId="5" type="noConversion"/>
  </si>
  <si>
    <t>사자 확률</t>
    <phoneticPr fontId="5" type="noConversion"/>
  </si>
  <si>
    <t>밑수가 2인 로그로 변환</t>
    <phoneticPr fontId="5" type="noConversion"/>
  </si>
  <si>
    <t>에 - 곱하기</t>
    <phoneticPr fontId="5" type="noConversion"/>
  </si>
  <si>
    <t>엔트로피는 약 1.81 비트</t>
    <phoneticPr fontId="5" type="noConversion"/>
  </si>
  <si>
    <t>스케일링(정규화)의 영향을 덜 받음</t>
    <phoneticPr fontId="5" type="noConversion"/>
  </si>
  <si>
    <r>
      <t xml:space="preserve">의사결정나무(Decision Tree)는 </t>
    </r>
    <r>
      <rPr>
        <b/>
        <sz val="11"/>
        <color theme="1"/>
        <rFont val="맑은 고딕"/>
        <family val="3"/>
        <charset val="129"/>
        <scheme val="minor"/>
      </rPr>
      <t>표준화 처리</t>
    </r>
    <r>
      <rPr>
        <sz val="11"/>
        <color theme="1"/>
        <rFont val="맑은 고딕"/>
        <family val="2"/>
        <scheme val="minor"/>
      </rPr>
      <t xml:space="preserve"> 또는 </t>
    </r>
    <r>
      <rPr>
        <b/>
        <sz val="11"/>
        <color theme="1"/>
        <rFont val="맑은 고딕"/>
        <family val="3"/>
        <charset val="129"/>
        <scheme val="minor"/>
      </rPr>
      <t>정규화 처리</t>
    </r>
    <r>
      <rPr>
        <sz val="11"/>
        <color theme="1"/>
        <rFont val="맑은 고딕"/>
        <family val="2"/>
        <scheme val="minor"/>
      </rPr>
      <t xml:space="preserve">가 필요하지 않거나, 이에 </t>
    </r>
    <r>
      <rPr>
        <b/>
        <sz val="11"/>
        <color theme="1"/>
        <rFont val="맑은 고딕"/>
        <family val="3"/>
        <charset val="129"/>
        <scheme val="minor"/>
      </rPr>
      <t>영향을 덜 받는</t>
    </r>
    <r>
      <rPr>
        <sz val="11"/>
        <color theme="1"/>
        <rFont val="맑은 고딕"/>
        <family val="2"/>
        <scheme val="minor"/>
      </rPr>
      <t xml:space="preserve"> 모델로 간주됩니다. 그 이유는 의사결정나무가 데이터의 특성 값들의 절대적인 크기보다는 </t>
    </r>
    <r>
      <rPr>
        <b/>
        <sz val="11"/>
        <color theme="1"/>
        <rFont val="맑은 고딕"/>
        <family val="3"/>
        <charset val="129"/>
        <scheme val="minor"/>
      </rPr>
      <t>특성들 간의 비교</t>
    </r>
    <r>
      <rPr>
        <sz val="11"/>
        <color theme="1"/>
        <rFont val="맑은 고딕"/>
        <family val="2"/>
        <scheme val="minor"/>
      </rPr>
      <t xml:space="preserve">와 </t>
    </r>
    <r>
      <rPr>
        <b/>
        <sz val="11"/>
        <color theme="1"/>
        <rFont val="맑은 고딕"/>
        <family val="3"/>
        <charset val="129"/>
        <scheme val="minor"/>
      </rPr>
      <t>조건 분할</t>
    </r>
    <r>
      <rPr>
        <sz val="11"/>
        <color theme="1"/>
        <rFont val="맑은 고딕"/>
        <family val="2"/>
        <scheme val="minor"/>
      </rPr>
      <t>에 기반해 작동하기 때문입니다.</t>
    </r>
  </si>
  <si>
    <t>다음은 그 이유에 대한 설명입니다:</t>
  </si>
  <si>
    <r>
      <t>1. 데이터 분할 방식</t>
    </r>
    <r>
      <rPr>
        <sz val="11"/>
        <color theme="1"/>
        <rFont val="맑은 고딕"/>
        <family val="2"/>
        <scheme val="minor"/>
      </rPr>
      <t>: 의사결정나무는 각 특성에 대해 특정 임계값을 기준으로 데이터를 분할합니다. 이 분할은 데이터의 절대적인 값보다는 특성 값이 임계값보다 큰지 작은지에 기반하므로, 데이터가 정규화 또는 표준화되지 않아도 성능에 큰 영향을 주지 않습니다.</t>
    </r>
  </si>
  <si>
    <r>
      <t>2. 거리 기반 모델이 아님</t>
    </r>
    <r>
      <rPr>
        <sz val="11"/>
        <color theme="1"/>
        <rFont val="맑은 고딕"/>
        <family val="2"/>
        <scheme val="minor"/>
      </rPr>
      <t>: 의사결정나무는 거리 기반 알고리즘(예: k-최근접 이웃 또는 SVM의 RBF 커널)과 달리 데이터 포인트 간의 거리를 계산하지 않습니다. 거리 기반 모델들은 특성의 크기 차이가 결과에 큰 영향을 미칠 수 있기 때문에 표준화 처리가 중요하지만, 의사결정나무는 그렇지 않습니다.</t>
    </r>
  </si>
  <si>
    <r>
      <t>3. 해석성</t>
    </r>
    <r>
      <rPr>
        <sz val="11"/>
        <color theme="1"/>
        <rFont val="맑은 고딕"/>
        <family val="2"/>
        <scheme val="minor"/>
      </rPr>
      <t>: 의사결정나무는 직관적으로 특성의 분할을 시각화하고 해석할 수 있는 장점이 있으며, 이러한 해석은 데이터의 원래 스케일에서 의미가 있습니다. 표준화나 정규화를 적용하면 스케일이 변경되기 때문에 해석이 어려워질 수 있습니다.</t>
    </r>
  </si>
  <si>
    <t>따라서 의사결정나무는 표준화나 정규화의 영향을 덜 받는 모델로, 이를 적용하지 않아도 되는 경우가 대부분입니다. 하지만, 특성의 스케일이 극단적으로 다르거나 특정 전처리가 필요할 경우에는 여전히 적용을 고려할 수 있습니다.</t>
  </si>
  <si>
    <t>정보 이득</t>
    <phoneticPr fontId="5" type="noConversion"/>
  </si>
  <si>
    <t>Information Gain</t>
    <phoneticPr fontId="5" type="noConversion"/>
  </si>
  <si>
    <t>총 고객이 10명(충성 고객 5명, 이탈 고객 5명)</t>
    <phoneticPr fontId="5" type="noConversion"/>
  </si>
  <si>
    <t>남성: 6명(충성 고객 5명, 이탈 고객 1명)</t>
    <phoneticPr fontId="5" type="noConversion"/>
  </si>
  <si>
    <t>여성: 6명(충성 고객 0명, 이탈 고객 4명)</t>
    <phoneticPr fontId="5" type="noConversion"/>
  </si>
  <si>
    <t>지니지수</t>
    <phoneticPr fontId="5" type="noConversion"/>
  </si>
  <si>
    <t>성별로 분류 후</t>
    <phoneticPr fontId="5" type="noConversion"/>
  </si>
  <si>
    <t>여성</t>
    <phoneticPr fontId="5" type="noConversion"/>
  </si>
  <si>
    <t>남성</t>
    <phoneticPr fontId="5" type="noConversion"/>
  </si>
  <si>
    <t>여성: 4명(충성 고객 0명, 이탈 고객 4명)</t>
    <phoneticPr fontId="5" type="noConversion"/>
  </si>
  <si>
    <t>가중치 부여</t>
    <phoneticPr fontId="5" type="noConversion"/>
  </si>
  <si>
    <t>분류된 후의 전체 지니지수</t>
    <phoneticPr fontId="5" type="noConversion"/>
  </si>
  <si>
    <t>성별로 분류 전</t>
    <phoneticPr fontId="5" type="noConversion"/>
  </si>
  <si>
    <t>남녀로 분류하는 것은 이 데이터를 설명하는데 유의함(significant)</t>
    <phoneticPr fontId="5" type="noConversion"/>
  </si>
  <si>
    <t>최종 정보이득</t>
    <phoneticPr fontId="5" type="noConversion"/>
  </si>
  <si>
    <t>분류전 지니지수 - 분류 후 지니 지수</t>
    <phoneticPr fontId="5" type="noConversion"/>
  </si>
  <si>
    <r>
      <t>from</t>
    </r>
    <r>
      <rPr>
        <sz val="11"/>
        <color rgb="FF000000"/>
        <rFont val="Consolas"/>
        <family val="3"/>
      </rPr>
      <t xml:space="preserve"> sklearn.model_selection </t>
    </r>
    <r>
      <rPr>
        <sz val="11"/>
        <color rgb="FF0000FF"/>
        <rFont val="Consolas"/>
        <family val="3"/>
      </rPr>
      <t>import</t>
    </r>
    <r>
      <rPr>
        <sz val="11"/>
        <color rgb="FF000000"/>
        <rFont val="Consolas"/>
        <family val="3"/>
      </rPr>
      <t xml:space="preserve"> cross_validate</t>
    </r>
  </si>
  <si>
    <r>
      <t>cross_validate</t>
    </r>
    <r>
      <rPr>
        <b/>
        <sz val="12"/>
        <color rgb="FF222832"/>
        <rFont val="Consolas"/>
        <family val="3"/>
      </rPr>
      <t>(</t>
    </r>
    <r>
      <rPr>
        <b/>
        <i/>
        <sz val="12"/>
        <color rgb="FF222832"/>
        <rFont val="Consolas"/>
        <family val="3"/>
      </rPr>
      <t>estimator</t>
    </r>
    <r>
      <rPr>
        <b/>
        <sz val="12"/>
        <color rgb="FF222832"/>
        <rFont val="Consolas"/>
        <family val="3"/>
      </rPr>
      <t>, </t>
    </r>
    <r>
      <rPr>
        <b/>
        <i/>
        <sz val="12"/>
        <color rgb="FF222832"/>
        <rFont val="Consolas"/>
        <family val="3"/>
      </rPr>
      <t>X</t>
    </r>
    <r>
      <rPr>
        <b/>
        <sz val="12"/>
        <color rgb="FF222832"/>
        <rFont val="Consolas"/>
        <family val="3"/>
      </rPr>
      <t>, </t>
    </r>
    <r>
      <rPr>
        <b/>
        <i/>
        <sz val="12"/>
        <color rgb="FF222832"/>
        <rFont val="Consolas"/>
        <family val="3"/>
      </rPr>
      <t>y</t>
    </r>
    <r>
      <rPr>
        <i/>
        <sz val="12"/>
        <color rgb="FF222832"/>
        <rFont val="Consolas"/>
        <family val="3"/>
      </rPr>
      <t>=None</t>
    </r>
    <r>
      <rPr>
        <b/>
        <sz val="12"/>
        <color rgb="FF222832"/>
        <rFont val="Consolas"/>
        <family val="3"/>
      </rPr>
      <t>, </t>
    </r>
    <r>
      <rPr>
        <i/>
        <sz val="12"/>
        <color rgb="FF222832"/>
        <rFont val="Consolas"/>
        <family val="3"/>
      </rPr>
      <t>*</t>
    </r>
    <r>
      <rPr>
        <b/>
        <sz val="12"/>
        <color rgb="FF222832"/>
        <rFont val="Consolas"/>
        <family val="3"/>
      </rPr>
      <t>, </t>
    </r>
    <r>
      <rPr>
        <b/>
        <i/>
        <sz val="12"/>
        <color rgb="FF222832"/>
        <rFont val="Consolas"/>
        <family val="3"/>
      </rPr>
      <t>groups</t>
    </r>
    <r>
      <rPr>
        <i/>
        <sz val="12"/>
        <color rgb="FF222832"/>
        <rFont val="Consolas"/>
        <family val="3"/>
      </rPr>
      <t>=None</t>
    </r>
    <r>
      <rPr>
        <b/>
        <sz val="12"/>
        <color rgb="FF222832"/>
        <rFont val="Consolas"/>
        <family val="3"/>
      </rPr>
      <t>, </t>
    </r>
    <r>
      <rPr>
        <b/>
        <i/>
        <sz val="12"/>
        <color rgb="FF222832"/>
        <rFont val="Consolas"/>
        <family val="3"/>
      </rPr>
      <t>scoring</t>
    </r>
    <r>
      <rPr>
        <i/>
        <sz val="12"/>
        <color rgb="FF222832"/>
        <rFont val="Consolas"/>
        <family val="3"/>
      </rPr>
      <t>=None</t>
    </r>
    <r>
      <rPr>
        <b/>
        <sz val="12"/>
        <color rgb="FF222832"/>
        <rFont val="Consolas"/>
        <family val="3"/>
      </rPr>
      <t>, </t>
    </r>
    <r>
      <rPr>
        <b/>
        <i/>
        <sz val="12"/>
        <color rgb="FFFF0000"/>
        <rFont val="Consolas"/>
        <family val="3"/>
      </rPr>
      <t>cv</t>
    </r>
    <r>
      <rPr>
        <i/>
        <sz val="12"/>
        <color rgb="FFFF0000"/>
        <rFont val="Consolas"/>
        <family val="3"/>
      </rPr>
      <t>=None</t>
    </r>
    <r>
      <rPr>
        <b/>
        <sz val="12"/>
        <color rgb="FF222832"/>
        <rFont val="Consolas"/>
        <family val="3"/>
      </rPr>
      <t>, </t>
    </r>
    <r>
      <rPr>
        <b/>
        <i/>
        <sz val="12"/>
        <color rgb="FF222832"/>
        <rFont val="Consolas"/>
        <family val="3"/>
      </rPr>
      <t>n_jobs</t>
    </r>
    <r>
      <rPr>
        <i/>
        <sz val="12"/>
        <color rgb="FF222832"/>
        <rFont val="Consolas"/>
        <family val="3"/>
      </rPr>
      <t>=None</t>
    </r>
    <r>
      <rPr>
        <b/>
        <sz val="12"/>
        <color rgb="FF222832"/>
        <rFont val="Consolas"/>
        <family val="3"/>
      </rPr>
      <t>, </t>
    </r>
    <r>
      <rPr>
        <b/>
        <i/>
        <sz val="12"/>
        <color rgb="FF222832"/>
        <rFont val="Consolas"/>
        <family val="3"/>
      </rPr>
      <t>verbose</t>
    </r>
    <r>
      <rPr>
        <i/>
        <sz val="12"/>
        <color rgb="FF222832"/>
        <rFont val="Consolas"/>
        <family val="3"/>
      </rPr>
      <t>=0</t>
    </r>
    <r>
      <rPr>
        <b/>
        <sz val="12"/>
        <color rgb="FF222832"/>
        <rFont val="Consolas"/>
        <family val="3"/>
      </rPr>
      <t>, </t>
    </r>
    <r>
      <rPr>
        <b/>
        <i/>
        <sz val="12"/>
        <color rgb="FF222832"/>
        <rFont val="Consolas"/>
        <family val="3"/>
      </rPr>
      <t>fit_params</t>
    </r>
    <r>
      <rPr>
        <i/>
        <sz val="12"/>
        <color rgb="FF222832"/>
        <rFont val="Consolas"/>
        <family val="3"/>
      </rPr>
      <t>=None</t>
    </r>
    <r>
      <rPr>
        <b/>
        <sz val="12"/>
        <color rgb="FF222832"/>
        <rFont val="Consolas"/>
        <family val="3"/>
      </rPr>
      <t>, </t>
    </r>
    <r>
      <rPr>
        <b/>
        <i/>
        <sz val="12"/>
        <color rgb="FF222832"/>
        <rFont val="Consolas"/>
        <family val="3"/>
      </rPr>
      <t>params</t>
    </r>
    <r>
      <rPr>
        <i/>
        <sz val="12"/>
        <color rgb="FF222832"/>
        <rFont val="Consolas"/>
        <family val="3"/>
      </rPr>
      <t>=None</t>
    </r>
    <r>
      <rPr>
        <b/>
        <sz val="12"/>
        <color rgb="FF222832"/>
        <rFont val="Consolas"/>
        <family val="3"/>
      </rPr>
      <t>, </t>
    </r>
    <r>
      <rPr>
        <b/>
        <i/>
        <sz val="12"/>
        <color rgb="FF222832"/>
        <rFont val="Consolas"/>
        <family val="3"/>
      </rPr>
      <t>pre_dispatch</t>
    </r>
    <r>
      <rPr>
        <i/>
        <sz val="12"/>
        <color rgb="FF222832"/>
        <rFont val="Consolas"/>
        <family val="3"/>
      </rPr>
      <t>='2*n_jobs'</t>
    </r>
    <r>
      <rPr>
        <b/>
        <sz val="12"/>
        <color rgb="FF222832"/>
        <rFont val="Consolas"/>
        <family val="3"/>
      </rPr>
      <t>, </t>
    </r>
    <r>
      <rPr>
        <b/>
        <i/>
        <sz val="12"/>
        <color rgb="FF222832"/>
        <rFont val="Consolas"/>
        <family val="3"/>
      </rPr>
      <t>return_train_score</t>
    </r>
    <r>
      <rPr>
        <i/>
        <sz val="12"/>
        <color rgb="FF222832"/>
        <rFont val="Consolas"/>
        <family val="3"/>
      </rPr>
      <t>=False</t>
    </r>
    <r>
      <rPr>
        <b/>
        <sz val="12"/>
        <color rgb="FF222832"/>
        <rFont val="Consolas"/>
        <family val="3"/>
      </rPr>
      <t>, </t>
    </r>
    <r>
      <rPr>
        <b/>
        <i/>
        <sz val="12"/>
        <color rgb="FF222832"/>
        <rFont val="Consolas"/>
        <family val="3"/>
      </rPr>
      <t>return_estimator</t>
    </r>
    <r>
      <rPr>
        <i/>
        <sz val="12"/>
        <color rgb="FF222832"/>
        <rFont val="Consolas"/>
        <family val="3"/>
      </rPr>
      <t>=False</t>
    </r>
    <r>
      <rPr>
        <b/>
        <sz val="12"/>
        <color rgb="FF222832"/>
        <rFont val="Consolas"/>
        <family val="3"/>
      </rPr>
      <t>, </t>
    </r>
    <r>
      <rPr>
        <b/>
        <i/>
        <sz val="12"/>
        <color rgb="FF222832"/>
        <rFont val="Consolas"/>
        <family val="3"/>
      </rPr>
      <t>return_indices</t>
    </r>
    <r>
      <rPr>
        <i/>
        <sz val="12"/>
        <color rgb="FF222832"/>
        <rFont val="Consolas"/>
        <family val="3"/>
      </rPr>
      <t>=False</t>
    </r>
    <r>
      <rPr>
        <b/>
        <sz val="12"/>
        <color rgb="FF222832"/>
        <rFont val="Consolas"/>
        <family val="3"/>
      </rPr>
      <t>, </t>
    </r>
    <r>
      <rPr>
        <b/>
        <i/>
        <sz val="12"/>
        <color rgb="FF222832"/>
        <rFont val="Consolas"/>
        <family val="3"/>
      </rPr>
      <t>error_score</t>
    </r>
    <r>
      <rPr>
        <i/>
        <sz val="12"/>
        <color rgb="FF222832"/>
        <rFont val="Consolas"/>
        <family val="3"/>
      </rPr>
      <t>=nan</t>
    </r>
    <r>
      <rPr>
        <b/>
        <sz val="12"/>
        <color rgb="FF222832"/>
        <rFont val="Consolas"/>
        <family val="3"/>
      </rPr>
      <t>)</t>
    </r>
    <phoneticPr fontId="5" type="noConversion"/>
  </si>
  <si>
    <t>Determines the cross-validation splitting strategy. Possible inputs for cv are:</t>
  </si>
  <si>
    <t>int, cross-validation generator or an iterable, default=None</t>
    <phoneticPr fontId="5" type="noConversion"/>
  </si>
  <si>
    <r>
      <t xml:space="preserve">None, to use the default </t>
    </r>
    <r>
      <rPr>
        <b/>
        <sz val="11"/>
        <color rgb="FFFF0000"/>
        <rFont val="맑은 고딕"/>
        <family val="3"/>
        <charset val="129"/>
        <scheme val="minor"/>
      </rPr>
      <t>5</t>
    </r>
    <r>
      <rPr>
        <b/>
        <sz val="11"/>
        <color theme="1"/>
        <rFont val="맑은 고딕"/>
        <family val="3"/>
        <charset val="129"/>
        <scheme val="minor"/>
      </rPr>
      <t>-fold cross validation,</t>
    </r>
    <phoneticPr fontId="5" type="noConversion"/>
  </si>
  <si>
    <t>scores = cross_validate(dt, train_input, train_target, cv=splitter)</t>
  </si>
  <si>
    <t>splitter = StratifiedKFold(n_splits=10, shuffle=True, random_state=42)</t>
  </si>
  <si>
    <t>print(np.mean(scores['test_score']))</t>
  </si>
  <si>
    <t>비례 층화 표본 추출 반영하고 k를 10으로,  10개의 모델을 만들어 평균낸 것으로 최종 모델 평가</t>
    <phoneticPr fontId="5" type="noConversion"/>
  </si>
  <si>
    <t>GridSearch CV and RandomSearch CV를 통한 하이퍼파라미터 튜닝</t>
    <phoneticPr fontId="5" type="noConversion"/>
  </si>
  <si>
    <t>1. GridSearchCV</t>
  </si>
  <si>
    <r>
      <t>의미</t>
    </r>
    <r>
      <rPr>
        <sz val="11"/>
        <color theme="1"/>
        <rFont val="맑은 고딕"/>
        <family val="2"/>
        <scheme val="minor"/>
      </rPr>
      <t>:</t>
    </r>
  </si>
  <si>
    <r>
      <t xml:space="preserve">GridSearchCV는 지정된 하이퍼파라미터의 </t>
    </r>
    <r>
      <rPr>
        <b/>
        <sz val="11"/>
        <color theme="1"/>
        <rFont val="맑은 고딕"/>
        <family val="3"/>
        <charset val="129"/>
        <scheme val="minor"/>
      </rPr>
      <t>모든 가능한 조합</t>
    </r>
    <r>
      <rPr>
        <sz val="11"/>
        <color theme="1"/>
        <rFont val="맑은 고딕"/>
        <family val="2"/>
        <scheme val="minor"/>
      </rPr>
      <t>을 탐색하는 방법입니다.</t>
    </r>
  </si>
  <si>
    <t>각 하이퍼파라미터에 대해 사용자가 가능한 값들의 그리드를 정의하고, GridSearchCV는 이 그리드 내의 모든 조합을 시도해 모델의 성능을 측정합니다.</t>
  </si>
  <si>
    <r>
      <t>예시</t>
    </r>
    <r>
      <rPr>
        <sz val="11"/>
        <color theme="1"/>
        <rFont val="맑은 고딕"/>
        <family val="2"/>
        <scheme val="minor"/>
      </rPr>
      <t>:</t>
    </r>
  </si>
  <si>
    <t>만약 두 가지 하이퍼파라미터가 각각 5가지와 4가지 값을 가질 수 있다면, GridSearch는 5 * 4 = 20개의 모델을 학습시켜 성능을 비교합니다.</t>
  </si>
  <si>
    <r>
      <t>장점</t>
    </r>
    <r>
      <rPr>
        <sz val="11"/>
        <color theme="1"/>
        <rFont val="맑은 고딕"/>
        <family val="2"/>
        <scheme val="minor"/>
      </rPr>
      <t>:</t>
    </r>
  </si>
  <si>
    <r>
      <t xml:space="preserve">모든 조합을 시도하므로, 전체 탐색 공간에서 </t>
    </r>
    <r>
      <rPr>
        <b/>
        <sz val="11"/>
        <color theme="1"/>
        <rFont val="맑은 고딕"/>
        <family val="3"/>
        <charset val="129"/>
        <scheme val="minor"/>
      </rPr>
      <t>최적의 하이퍼파라미터를 찾을 수 있습니다</t>
    </r>
    <r>
      <rPr>
        <sz val="11"/>
        <color theme="1"/>
        <rFont val="맑은 고딕"/>
        <family val="2"/>
        <scheme val="minor"/>
      </rPr>
      <t>.</t>
    </r>
  </si>
  <si>
    <r>
      <t>단점</t>
    </r>
    <r>
      <rPr>
        <sz val="11"/>
        <color theme="1"/>
        <rFont val="맑은 고딕"/>
        <family val="2"/>
        <scheme val="minor"/>
      </rPr>
      <t>:</t>
    </r>
  </si>
  <si>
    <r>
      <t>시간과 계산 비용이 매우 높습니다</t>
    </r>
    <r>
      <rPr>
        <sz val="11"/>
        <color theme="1"/>
        <rFont val="맑은 고딕"/>
        <family val="2"/>
        <scheme val="minor"/>
      </rPr>
      <t>. 하이퍼파라미터 값의 조합이 많을수록 탐색 시간이 기하급수적으로 증가합니다.</t>
    </r>
  </si>
  <si>
    <t>2. RandomizedSearchCV</t>
  </si>
  <si>
    <r>
      <t xml:space="preserve">RandomizedSearchCV는 지정된 하이퍼파라미터 범위 내에서 </t>
    </r>
    <r>
      <rPr>
        <b/>
        <sz val="11"/>
        <color theme="1"/>
        <rFont val="맑은 고딕"/>
        <family val="3"/>
        <charset val="129"/>
        <scheme val="minor"/>
      </rPr>
      <t>임의의 조합을 일정한 횟수만큼 샘플링</t>
    </r>
    <r>
      <rPr>
        <sz val="11"/>
        <color theme="1"/>
        <rFont val="맑은 고딕"/>
        <family val="2"/>
        <scheme val="minor"/>
      </rPr>
      <t>하여 탐색하는 방법입니다.</t>
    </r>
  </si>
  <si>
    <t>GridSearch와 달리, 모든 가능한 조합을 시도하지 않고, 하이퍼파라미터 공간에서 일부 조합을 무작위로 선택하여 평가합니다.</t>
  </si>
  <si>
    <t>동일한 두 가지 하이퍼파라미터에 대해, RandomizedSearchCV는 사용자가 설정한 횟수(예: 10번)만큼의 조합을 랜덤으로 선택해 모델을 평가합니다.</t>
  </si>
  <si>
    <r>
      <t>시간과 계산 비용이 훨씬 적습니다</t>
    </r>
    <r>
      <rPr>
        <sz val="11"/>
        <color theme="1"/>
        <rFont val="맑은 고딕"/>
        <family val="2"/>
        <scheme val="minor"/>
      </rPr>
      <t>. 무작위로 샘플링하므로 일부 조합만 평가하게 됩니다.</t>
    </r>
  </si>
  <si>
    <r>
      <t>큰 하이퍼파라미터 공간</t>
    </r>
    <r>
      <rPr>
        <sz val="11"/>
        <color theme="1"/>
        <rFont val="맑은 고딕"/>
        <family val="2"/>
        <scheme val="minor"/>
      </rPr>
      <t>에서 효율적으로 탐색할 수 있습니다.</t>
    </r>
  </si>
  <si>
    <r>
      <t xml:space="preserve">모든 조합을 시도하지 않으므로, </t>
    </r>
    <r>
      <rPr>
        <b/>
        <sz val="11"/>
        <color theme="1"/>
        <rFont val="맑은 고딕"/>
        <family val="3"/>
        <charset val="129"/>
        <scheme val="minor"/>
      </rPr>
      <t>전역 최적점을 놓칠 가능성</t>
    </r>
    <r>
      <rPr>
        <sz val="11"/>
        <color theme="1"/>
        <rFont val="맑은 고딕"/>
        <family val="2"/>
        <scheme val="minor"/>
      </rPr>
      <t>이 있습니다. 하지만 적절히 샘플링을 많이 할수록 최적점을 찾을 확률은 증가합니다.</t>
    </r>
  </si>
  <si>
    <t>언제 어떤 방법을 사용할까?</t>
  </si>
  <si>
    <r>
      <t>1. GridSearchCV를 사용할 때</t>
    </r>
    <r>
      <rPr>
        <sz val="11"/>
        <color theme="1"/>
        <rFont val="맑은 고딕"/>
        <family val="2"/>
        <scheme val="minor"/>
      </rPr>
      <t>:</t>
    </r>
  </si>
  <si>
    <r>
      <t xml:space="preserve">하이퍼파라미터의 범위가 </t>
    </r>
    <r>
      <rPr>
        <b/>
        <sz val="11"/>
        <color theme="1"/>
        <rFont val="맑은 고딕"/>
        <family val="3"/>
        <charset val="129"/>
        <scheme val="minor"/>
      </rPr>
      <t>작거나 제한적일 때</t>
    </r>
    <r>
      <rPr>
        <sz val="11"/>
        <color theme="1"/>
        <rFont val="맑은 고딕"/>
        <family val="2"/>
        <scheme val="minor"/>
      </rPr>
      <t>.</t>
    </r>
  </si>
  <si>
    <r>
      <t xml:space="preserve">계산 자원이 충분하고, </t>
    </r>
    <r>
      <rPr>
        <b/>
        <sz val="11"/>
        <color theme="1"/>
        <rFont val="맑은 고딕"/>
        <family val="3"/>
        <charset val="129"/>
        <scheme val="minor"/>
      </rPr>
      <t>모든 조합을 탐색할 수 있는 상황</t>
    </r>
    <r>
      <rPr>
        <sz val="11"/>
        <color theme="1"/>
        <rFont val="맑은 고딕"/>
        <family val="2"/>
        <scheme val="minor"/>
      </rPr>
      <t>에서.</t>
    </r>
  </si>
  <si>
    <r>
      <t xml:space="preserve">모델의 </t>
    </r>
    <r>
      <rPr>
        <b/>
        <sz val="11"/>
        <color theme="1"/>
        <rFont val="맑은 고딕"/>
        <family val="3"/>
        <charset val="129"/>
        <scheme val="minor"/>
      </rPr>
      <t>하이퍼파라미터가 소수인 경우</t>
    </r>
    <r>
      <rPr>
        <sz val="11"/>
        <color theme="1"/>
        <rFont val="맑은 고딕"/>
        <family val="2"/>
        <scheme val="minor"/>
      </rPr>
      <t>. 예를 들어, 하나나 두 개 정도의 하이퍼파라미터가 있을 때.</t>
    </r>
  </si>
  <si>
    <r>
      <t>2. RandomizedSearchCV를 사용할 때</t>
    </r>
    <r>
      <rPr>
        <sz val="11"/>
        <color theme="1"/>
        <rFont val="맑은 고딕"/>
        <family val="2"/>
        <scheme val="minor"/>
      </rPr>
      <t>:</t>
    </r>
  </si>
  <si>
    <r>
      <t xml:space="preserve">하이퍼파라미터 공간이 </t>
    </r>
    <r>
      <rPr>
        <b/>
        <sz val="11"/>
        <color theme="1"/>
        <rFont val="맑은 고딕"/>
        <family val="3"/>
        <charset val="129"/>
        <scheme val="minor"/>
      </rPr>
      <t>크거나 복잡할 때</t>
    </r>
    <r>
      <rPr>
        <sz val="11"/>
        <color theme="1"/>
        <rFont val="맑은 고딕"/>
        <family val="2"/>
        <scheme val="minor"/>
      </rPr>
      <t>.</t>
    </r>
  </si>
  <si>
    <r>
      <t xml:space="preserve">계산 자원이 제한적이고, </t>
    </r>
    <r>
      <rPr>
        <b/>
        <sz val="11"/>
        <color theme="1"/>
        <rFont val="맑은 고딕"/>
        <family val="3"/>
        <charset val="129"/>
        <scheme val="minor"/>
      </rPr>
      <t>빠르게 최적에 가까운 성능을 원할 때</t>
    </r>
    <r>
      <rPr>
        <sz val="11"/>
        <color theme="1"/>
        <rFont val="맑은 고딕"/>
        <family val="2"/>
        <scheme val="minor"/>
      </rPr>
      <t>.</t>
    </r>
  </si>
  <si>
    <r>
      <t xml:space="preserve">시간이나 계산 비용이 중요한 경우, </t>
    </r>
    <r>
      <rPr>
        <b/>
        <sz val="11"/>
        <color theme="1"/>
        <rFont val="맑은 고딕"/>
        <family val="3"/>
        <charset val="129"/>
        <scheme val="minor"/>
      </rPr>
      <t>탐색 공간의 일부를 효율적으로 샘플링</t>
    </r>
    <r>
      <rPr>
        <sz val="11"/>
        <color theme="1"/>
        <rFont val="맑은 고딕"/>
        <family val="2"/>
        <scheme val="minor"/>
      </rPr>
      <t>할 필요가 있을 때.</t>
    </r>
  </si>
  <si>
    <t>요약</t>
  </si>
  <si>
    <r>
      <t>GridSearchCV</t>
    </r>
    <r>
      <rPr>
        <sz val="11"/>
        <color theme="1"/>
        <rFont val="맑은 고딕"/>
        <family val="2"/>
        <scheme val="minor"/>
      </rPr>
      <t>는 모든 하이퍼파라미터 조합을 시도해 최적의 하이퍼파라미터를 찾지만, 계산 비용이 높습니다.</t>
    </r>
  </si>
  <si>
    <r>
      <t>RandomizedSearchCV</t>
    </r>
    <r>
      <rPr>
        <sz val="11"/>
        <color theme="1"/>
        <rFont val="맑은 고딕"/>
        <family val="2"/>
        <scheme val="minor"/>
      </rPr>
      <t>는 일부 하이퍼파라미터 조합만 시도해 시간을 절약하며, 큰 탐색 공간에서 효율적으로 작동하지만, 최적의 조합을 놓칠 가능성이 있습니다.</t>
    </r>
  </si>
  <si>
    <t>Voting</t>
    <phoneticPr fontId="5" type="noConversion"/>
  </si>
  <si>
    <t>Bagging</t>
    <phoneticPr fontId="5" type="noConversion"/>
  </si>
  <si>
    <t>aggregating</t>
    <phoneticPr fontId="5" type="noConversion"/>
  </si>
  <si>
    <t>bootstrap</t>
    <phoneticPr fontId="5" type="noConversion"/>
  </si>
  <si>
    <r>
      <t xml:space="preserve">약 **37%**의 데이터는 </t>
    </r>
    <r>
      <rPr>
        <b/>
        <sz val="11"/>
        <color theme="1"/>
        <rFont val="맑은 고딕"/>
        <family val="3"/>
        <charset val="129"/>
        <scheme val="minor"/>
      </rPr>
      <t>OOB 샘플</t>
    </r>
    <r>
      <rPr>
        <sz val="11"/>
        <color theme="1"/>
        <rFont val="맑은 고딕"/>
        <family val="2"/>
        <scheme val="minor"/>
      </rPr>
      <t xml:space="preserve">로 사용되며, </t>
    </r>
    <r>
      <rPr>
        <sz val="10"/>
        <color theme="1"/>
        <rFont val="Arial Unicode MS"/>
        <family val="2"/>
      </rPr>
      <t>oob_score=True</t>
    </r>
    <r>
      <rPr>
        <sz val="11"/>
        <color theme="1"/>
        <rFont val="맑은 고딕"/>
        <family val="2"/>
        <scheme val="minor"/>
      </rPr>
      <t xml:space="preserve">로 설정하면 이를 통해 </t>
    </r>
    <r>
      <rPr>
        <b/>
        <sz val="11"/>
        <color theme="1"/>
        <rFont val="맑은 고딕"/>
        <family val="3"/>
        <charset val="129"/>
        <scheme val="minor"/>
      </rPr>
      <t>모델 성능을 평가</t>
    </r>
    <r>
      <rPr>
        <sz val="11"/>
        <color theme="1"/>
        <rFont val="맑은 고딕"/>
        <family val="2"/>
        <scheme val="minor"/>
      </rPr>
      <t>할 수 있습니다.</t>
    </r>
  </si>
  <si>
    <t>Boosting</t>
    <phoneticPr fontId="5" type="noConversion"/>
  </si>
  <si>
    <t>수학 백업 참조</t>
    <phoneticPr fontId="5" type="noConversion"/>
  </si>
  <si>
    <t>설치</t>
    <phoneticPr fontId="5" type="noConversion"/>
  </si>
  <si>
    <t>docker pull 이미지이름</t>
    <phoneticPr fontId="5" type="noConversion"/>
  </si>
  <si>
    <t>1차원 컨벌루션</t>
  </si>
  <si>
    <t>커널</t>
  </si>
  <si>
    <t>(mask, kernel, filter, window)</t>
  </si>
  <si>
    <t>특징맵</t>
  </si>
  <si>
    <t>-</t>
    <phoneticPr fontId="5" type="noConversion"/>
  </si>
  <si>
    <t>0 덧대기(패딩), 크기(size)가 같아지므로 same padding이라고도 함</t>
    <phoneticPr fontId="5" type="noConversion"/>
  </si>
  <si>
    <t>bias</t>
    <phoneticPr fontId="5" type="noConversion"/>
  </si>
  <si>
    <t>1차원 컨벌루션(convolution)</t>
    <phoneticPr fontId="5" type="noConversion"/>
  </si>
  <si>
    <t>2차원 컨벌루션(convolution)</t>
    <phoneticPr fontId="5" type="noConversion"/>
  </si>
  <si>
    <t>same padding 적용 후</t>
    <phoneticPr fontId="5" type="noConversion"/>
  </si>
  <si>
    <t xml:space="preserve"> 적용</t>
    <phoneticPr fontId="5" type="noConversion"/>
  </si>
  <si>
    <t>3차원 컨벌루션(convolution)</t>
    <phoneticPr fontId="5" type="noConversion"/>
  </si>
  <si>
    <t>R</t>
  </si>
  <si>
    <t>G</t>
  </si>
  <si>
    <r>
      <t>x</t>
    </r>
    <r>
      <rPr>
        <vertAlign val="subscript"/>
        <sz val="11"/>
        <color theme="1"/>
        <rFont val="맑은 고딕"/>
        <family val="3"/>
        <charset val="129"/>
        <scheme val="minor"/>
      </rPr>
      <t>784</t>
    </r>
    <phoneticPr fontId="5" type="noConversion"/>
  </si>
  <si>
    <t>중</t>
    <phoneticPr fontId="5" type="noConversion"/>
  </si>
  <si>
    <t>간</t>
    <phoneticPr fontId="5" type="noConversion"/>
  </si>
  <si>
    <t>생</t>
    <phoneticPr fontId="5" type="noConversion"/>
  </si>
  <si>
    <t>략</t>
    <phoneticPr fontId="5" type="noConversion"/>
  </si>
  <si>
    <t>1개</t>
    <phoneticPr fontId="5" type="noConversion"/>
  </si>
  <si>
    <t>2개</t>
    <phoneticPr fontId="5" type="noConversion"/>
  </si>
  <si>
    <t>60000개</t>
    <phoneticPr fontId="5" type="noConversion"/>
  </si>
  <si>
    <t>label</t>
    <phoneticPr fontId="5" type="noConversion"/>
  </si>
  <si>
    <r>
      <t>from</t>
    </r>
    <r>
      <rPr>
        <sz val="11"/>
        <color rgb="FF000000"/>
        <rFont val="Consolas"/>
        <family val="3"/>
      </rPr>
      <t xml:space="preserve"> tensorflow.keras.utils </t>
    </r>
    <r>
      <rPr>
        <sz val="11"/>
        <color rgb="FF0000FF"/>
        <rFont val="Consolas"/>
        <family val="3"/>
      </rPr>
      <t>import</t>
    </r>
    <r>
      <rPr>
        <sz val="11"/>
        <color rgb="FF000000"/>
        <rFont val="Consolas"/>
        <family val="3"/>
      </rPr>
      <t xml:space="preserve"> to_categorical</t>
    </r>
  </si>
  <si>
    <t>array([0., 0., 0., 0., 0., 1., 0., 0., 0., 0.])</t>
  </si>
  <si>
    <t>10000개의 테스트 데이터</t>
    <phoneticPr fontId="5" type="noConversion"/>
  </si>
  <si>
    <t>y</t>
    <phoneticPr fontId="5" type="noConversion"/>
  </si>
  <si>
    <t>Conv2D</t>
    <phoneticPr fontId="5" type="noConversion"/>
  </si>
  <si>
    <t>kernel</t>
    <phoneticPr fontId="5" type="noConversion"/>
  </si>
  <si>
    <t>feature map</t>
    <phoneticPr fontId="5" type="noConversion"/>
  </si>
  <si>
    <t>dropout</t>
    <phoneticPr fontId="5" type="noConversion"/>
  </si>
  <si>
    <t>flatten</t>
    <phoneticPr fontId="5" type="noConversion"/>
  </si>
  <si>
    <t>input_shape</t>
    <phoneticPr fontId="5" type="noConversion"/>
  </si>
  <si>
    <t>28*28 ,1</t>
    <phoneticPr fontId="5" type="noConversion"/>
  </si>
  <si>
    <t>28*28</t>
    <phoneticPr fontId="5" type="noConversion"/>
  </si>
  <si>
    <t>채널1</t>
    <phoneticPr fontId="5" type="noConversion"/>
  </si>
  <si>
    <t>1개</t>
    <phoneticPr fontId="5" type="noConversion"/>
  </si>
  <si>
    <t>max pooling</t>
    <phoneticPr fontId="5" type="noConversion"/>
  </si>
  <si>
    <t>패딩이  valid가 기본</t>
    <phoneticPr fontId="5" type="noConversion"/>
  </si>
  <si>
    <t xml:space="preserve">valid padding 적용 </t>
    <phoneticPr fontId="5" type="noConversion"/>
  </si>
  <si>
    <t>8*8</t>
    <phoneticPr fontId="5" type="noConversion"/>
  </si>
  <si>
    <t>6*6</t>
    <phoneticPr fontId="5" type="noConversion"/>
  </si>
  <si>
    <t>26*26*32</t>
    <phoneticPr fontId="5" type="noConversion"/>
  </si>
  <si>
    <t>kernel이 32개</t>
    <phoneticPr fontId="5" type="noConversion"/>
  </si>
  <si>
    <t>26으로 나온 이유는</t>
    <phoneticPr fontId="5" type="noConversion"/>
  </si>
  <si>
    <t>24으로 나온 이유는</t>
    <phoneticPr fontId="5" type="noConversion"/>
  </si>
  <si>
    <t>2*2</t>
    <phoneticPr fontId="5" type="noConversion"/>
  </si>
  <si>
    <t>12*12*64</t>
    <phoneticPr fontId="5" type="noConversion"/>
  </si>
  <si>
    <t>필터마다 필요한 가중치 파라미터 수는 필터 크기와 입력 채널 수에 따라 결정됩니다.</t>
  </si>
  <si>
    <t xml:space="preserve">한 필터당 가중치 파라미터 수: 3×3×1=9  </t>
    <phoneticPr fontId="5" type="noConversion"/>
  </si>
  <si>
    <t>총 가중치 파라미터 수: 9×32=288</t>
    <phoneticPr fontId="5" type="noConversion"/>
  </si>
  <si>
    <t>필터마다 편향 추가</t>
    <phoneticPr fontId="5" type="noConversion"/>
  </si>
  <si>
    <t>288*64</t>
    <phoneticPr fontId="5" type="noConversion"/>
  </si>
  <si>
    <t>총 파라미터 수</t>
    <phoneticPr fontId="5" type="noConversion"/>
  </si>
  <si>
    <t>32*9</t>
    <phoneticPr fontId="5" type="noConversion"/>
  </si>
  <si>
    <t>tf.keras.layers.Conv2D(</t>
  </si>
  <si>
    <t xml:space="preserve">    filters,</t>
  </si>
  <si>
    <t xml:space="preserve">    kernel_size,</t>
  </si>
  <si>
    <t xml:space="preserve">    strides=(1, 1),</t>
  </si>
  <si>
    <t xml:space="preserve">    padding=&amp;#x27;valid',</t>
  </si>
  <si>
    <t xml:space="preserve">    data_format=None,</t>
  </si>
  <si>
    <t xml:space="preserve">    dilation_rate=(1, 1),</t>
  </si>
  <si>
    <t xml:space="preserve">    groups=1,</t>
  </si>
  <si>
    <t xml:space="preserve">    activation=None,</t>
  </si>
  <si>
    <t xml:space="preserve">    use_bias=True,</t>
  </si>
  <si>
    <t xml:space="preserve">    kernel_initializer=&amp;#x27;glorot_uniform',</t>
  </si>
  <si>
    <t xml:space="preserve">    bias_initializer=&amp;#x27;zeros',</t>
  </si>
  <si>
    <t xml:space="preserve">    kernel_regularizer=None,</t>
  </si>
  <si>
    <t xml:space="preserve">    bias_regularizer=None,</t>
  </si>
  <si>
    <t xml:space="preserve">    activity_regularizer=None,</t>
  </si>
  <si>
    <t xml:space="preserve">    kernel_constraint=None,</t>
  </si>
  <si>
    <t xml:space="preserve">    bias_constraint=None,</t>
  </si>
  <si>
    <t xml:space="preserve">    **kwargs</t>
  </si>
  <si>
    <t>)</t>
  </si>
  <si>
    <t>tf.keras.layers.MaxPool2D(</t>
  </si>
  <si>
    <t xml:space="preserve">    pool_size=(2, 2),</t>
  </si>
  <si>
    <t xml:space="preserve">    strides=None,</t>
  </si>
  <si>
    <t xml:space="preserve">    name=None,</t>
  </si>
  <si>
    <t>max 풀링 후</t>
    <phoneticPr fontId="5" type="noConversion"/>
  </si>
  <si>
    <t>28(same padding) 적용해서</t>
    <phoneticPr fontId="5" type="noConversion"/>
  </si>
  <si>
    <t>사이즈가 같음</t>
    <phoneticPr fontId="5" type="noConversion"/>
  </si>
  <si>
    <t>32개</t>
    <phoneticPr fontId="5" type="noConversion"/>
  </si>
  <si>
    <t>14(same padding) 적용해서</t>
    <phoneticPr fontId="5" type="noConversion"/>
  </si>
  <si>
    <t>최종 파라미터 개수</t>
    <phoneticPr fontId="5" type="noConversion"/>
  </si>
  <si>
    <t>model = Sequential()</t>
  </si>
  <si>
    <r>
      <t>model.add(Conv2D(</t>
    </r>
    <r>
      <rPr>
        <sz val="11"/>
        <color rgb="FF098658"/>
        <rFont val="Consolas"/>
        <family val="3"/>
      </rPr>
      <t>32</t>
    </r>
    <r>
      <rPr>
        <sz val="11"/>
        <color rgb="FF000000"/>
        <rFont val="Consolas"/>
        <family val="3"/>
      </rPr>
      <t>, kernel_size=(</t>
    </r>
    <r>
      <rPr>
        <sz val="11"/>
        <color rgb="FF098658"/>
        <rFont val="Consolas"/>
        <family val="3"/>
      </rPr>
      <t>3</t>
    </r>
    <r>
      <rPr>
        <sz val="11"/>
        <color rgb="FF000000"/>
        <rFont val="Consolas"/>
        <family val="3"/>
      </rPr>
      <t xml:space="preserve">, </t>
    </r>
    <r>
      <rPr>
        <sz val="11"/>
        <color rgb="FF098658"/>
        <rFont val="Consolas"/>
        <family val="3"/>
      </rPr>
      <t>3</t>
    </r>
    <r>
      <rPr>
        <sz val="11"/>
        <color rgb="FF000000"/>
        <rFont val="Consolas"/>
        <family val="3"/>
      </rPr>
      <t>), padding=</t>
    </r>
    <r>
      <rPr>
        <sz val="11"/>
        <color rgb="FFA31515"/>
        <rFont val="Consolas"/>
        <family val="3"/>
      </rPr>
      <t>"same"</t>
    </r>
    <r>
      <rPr>
        <sz val="11"/>
        <color rgb="FF000000"/>
        <rFont val="Consolas"/>
        <family val="3"/>
      </rPr>
      <t>,</t>
    </r>
  </si>
  <si>
    <r>
      <t>          input_shape=(</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 activation=</t>
    </r>
    <r>
      <rPr>
        <sz val="11"/>
        <color rgb="FFA31515"/>
        <rFont val="Consolas"/>
        <family val="3"/>
      </rPr>
      <t>'relu'</t>
    </r>
    <r>
      <rPr>
        <sz val="11"/>
        <color rgb="FF000000"/>
        <rFont val="Consolas"/>
        <family val="3"/>
      </rPr>
      <t>))</t>
    </r>
  </si>
  <si>
    <r>
      <t>model.add(MaxPooling2D(pool_size=(</t>
    </r>
    <r>
      <rPr>
        <sz val="11"/>
        <color rgb="FF098658"/>
        <rFont val="Consolas"/>
        <family val="3"/>
      </rPr>
      <t>2</t>
    </r>
    <r>
      <rPr>
        <sz val="11"/>
        <color rgb="FF000000"/>
        <rFont val="Consolas"/>
        <family val="3"/>
      </rPr>
      <t xml:space="preserve">, </t>
    </r>
    <r>
      <rPr>
        <sz val="11"/>
        <color rgb="FF098658"/>
        <rFont val="Consolas"/>
        <family val="3"/>
      </rPr>
      <t>2</t>
    </r>
    <r>
      <rPr>
        <sz val="11"/>
        <color rgb="FF000000"/>
        <rFont val="Consolas"/>
        <family val="3"/>
      </rPr>
      <t>)))</t>
    </r>
  </si>
  <si>
    <r>
      <t>model.add(Conv2D(</t>
    </r>
    <r>
      <rPr>
        <sz val="11"/>
        <color rgb="FF098658"/>
        <rFont val="Consolas"/>
        <family val="3"/>
      </rPr>
      <t>64</t>
    </r>
    <r>
      <rPr>
        <sz val="11"/>
        <color rgb="FF000000"/>
        <rFont val="Consolas"/>
        <family val="3"/>
      </rPr>
      <t>, kernel_size=(</t>
    </r>
    <r>
      <rPr>
        <sz val="11"/>
        <color rgb="FF098658"/>
        <rFont val="Consolas"/>
        <family val="3"/>
      </rPr>
      <t>3</t>
    </r>
    <r>
      <rPr>
        <sz val="11"/>
        <color rgb="FF000000"/>
        <rFont val="Consolas"/>
        <family val="3"/>
      </rPr>
      <t xml:space="preserve">, </t>
    </r>
    <r>
      <rPr>
        <sz val="11"/>
        <color rgb="FF098658"/>
        <rFont val="Consolas"/>
        <family val="3"/>
      </rPr>
      <t>3</t>
    </r>
    <r>
      <rPr>
        <sz val="11"/>
        <color rgb="FF000000"/>
        <rFont val="Consolas"/>
        <family val="3"/>
      </rPr>
      <t>),  activation=</t>
    </r>
    <r>
      <rPr>
        <sz val="11"/>
        <color rgb="FFA31515"/>
        <rFont val="Consolas"/>
        <family val="3"/>
      </rPr>
      <t>'relu'</t>
    </r>
    <r>
      <rPr>
        <sz val="11"/>
        <color rgb="FF000000"/>
        <rFont val="Consolas"/>
        <family val="3"/>
      </rPr>
      <t>, padding=</t>
    </r>
    <r>
      <rPr>
        <sz val="11"/>
        <color rgb="FFA31515"/>
        <rFont val="Consolas"/>
        <family val="3"/>
      </rPr>
      <t>"same"</t>
    </r>
    <r>
      <rPr>
        <sz val="11"/>
        <color rgb="FF000000"/>
        <rFont val="Consolas"/>
        <family val="3"/>
      </rPr>
      <t>))</t>
    </r>
  </si>
  <si>
    <t>model.add(Flatten())</t>
  </si>
  <si>
    <r>
      <t>model.add(Dense(</t>
    </r>
    <r>
      <rPr>
        <sz val="11"/>
        <color rgb="FF098658"/>
        <rFont val="Consolas"/>
        <family val="3"/>
      </rPr>
      <t>100</t>
    </r>
    <r>
      <rPr>
        <sz val="11"/>
        <color rgb="FF000000"/>
        <rFont val="Consolas"/>
        <family val="3"/>
      </rPr>
      <t>,  activation=</t>
    </r>
    <r>
      <rPr>
        <sz val="11"/>
        <color rgb="FFA31515"/>
        <rFont val="Consolas"/>
        <family val="3"/>
      </rPr>
      <t>'relu'</t>
    </r>
    <r>
      <rPr>
        <sz val="11"/>
        <color rgb="FF000000"/>
        <rFont val="Consolas"/>
        <family val="3"/>
      </rPr>
      <t>))</t>
    </r>
  </si>
  <si>
    <r>
      <t>model.add(Dropout(</t>
    </r>
    <r>
      <rPr>
        <sz val="11"/>
        <color rgb="FF098658"/>
        <rFont val="Consolas"/>
        <family val="3"/>
      </rPr>
      <t>0.4</t>
    </r>
    <r>
      <rPr>
        <sz val="11"/>
        <color rgb="FF000000"/>
        <rFont val="Consolas"/>
        <family val="3"/>
      </rPr>
      <t>))</t>
    </r>
  </si>
  <si>
    <r>
      <t>model.add(Dense(</t>
    </r>
    <r>
      <rPr>
        <sz val="11"/>
        <color rgb="FF098658"/>
        <rFont val="Consolas"/>
        <family val="3"/>
      </rPr>
      <t>10</t>
    </r>
    <r>
      <rPr>
        <sz val="11"/>
        <color rgb="FF000000"/>
        <rFont val="Consolas"/>
        <family val="3"/>
      </rPr>
      <t>, activation=</t>
    </r>
    <r>
      <rPr>
        <sz val="11"/>
        <color rgb="FFA31515"/>
        <rFont val="Consolas"/>
        <family val="3"/>
      </rPr>
      <t>'softmax'</t>
    </r>
    <r>
      <rPr>
        <sz val="11"/>
        <color rgb="FF000000"/>
        <rFont val="Consolas"/>
        <family val="3"/>
      </rPr>
      <t>))</t>
    </r>
  </si>
  <si>
    <t>model.summary()</t>
  </si>
  <si>
    <t>keras.utils.plot_model(model)</t>
  </si>
  <si>
    <r>
      <t>!</t>
    </r>
    <r>
      <rPr>
        <sz val="11"/>
        <color rgb="FF000000"/>
        <rFont val="Consolas"/>
        <family val="3"/>
      </rPr>
      <t>pip install pydot</t>
    </r>
  </si>
  <si>
    <r>
      <t>!</t>
    </r>
    <r>
      <rPr>
        <sz val="11"/>
        <color rgb="FF000000"/>
        <rFont val="Consolas"/>
        <family val="3"/>
      </rPr>
      <t>pip install graphviz</t>
    </r>
  </si>
  <si>
    <r>
      <rPr>
        <sz val="11"/>
        <color theme="1"/>
        <rFont val="돋움"/>
        <family val="3"/>
        <charset val="129"/>
      </rPr>
      <t>윈도우용</t>
    </r>
    <r>
      <rPr>
        <sz val="11"/>
        <color theme="1"/>
        <rFont val="Arial Unicode MS"/>
        <family val="2"/>
      </rPr>
      <t xml:space="preserve"> </t>
    </r>
    <r>
      <rPr>
        <sz val="11"/>
        <color theme="1"/>
        <rFont val="돋움"/>
        <family val="3"/>
        <charset val="129"/>
      </rPr>
      <t>그래피즈</t>
    </r>
    <r>
      <rPr>
        <sz val="11"/>
        <color theme="1"/>
        <rFont val="Arial Unicode MS"/>
        <family val="2"/>
      </rPr>
      <t xml:space="preserve"> </t>
    </r>
    <r>
      <rPr>
        <sz val="11"/>
        <color theme="1"/>
        <rFont val="돋움"/>
        <family val="3"/>
        <charset val="129"/>
      </rPr>
      <t>설치</t>
    </r>
    <phoneticPr fontId="5" type="noConversion"/>
  </si>
  <si>
    <t>sparse_categorical_crossentropy</t>
    <phoneticPr fontId="5" type="noConversion"/>
  </si>
  <si>
    <r>
      <t>sparse_categorical_crossentropy</t>
    </r>
    <r>
      <rPr>
        <sz val="11"/>
        <color theme="1"/>
        <rFont val="맑은 고딕"/>
        <family val="2"/>
        <scheme val="minor"/>
      </rPr>
      <t xml:space="preserve">와 </t>
    </r>
    <r>
      <rPr>
        <sz val="10"/>
        <color theme="1"/>
        <rFont val="Arial Unicode MS"/>
        <family val="2"/>
      </rPr>
      <t>categorical_crossentropy</t>
    </r>
    <r>
      <rPr>
        <sz val="11"/>
        <color theme="1"/>
        <rFont val="맑은 고딕"/>
        <family val="2"/>
        <scheme val="minor"/>
      </rPr>
      <t xml:space="preserve">는 둘 다 다중 클래스 분류 문제에서 사용되는 손실 함수입니다. 이 둘의 주요 차이점은 </t>
    </r>
    <r>
      <rPr>
        <b/>
        <sz val="11"/>
        <color theme="1"/>
        <rFont val="맑은 고딕"/>
        <family val="3"/>
        <charset val="129"/>
        <scheme val="minor"/>
      </rPr>
      <t>레이블의 표현 방식</t>
    </r>
    <r>
      <rPr>
        <sz val="11"/>
        <color theme="1"/>
        <rFont val="맑은 고딕"/>
        <family val="2"/>
        <scheme val="minor"/>
      </rPr>
      <t>입니다.</t>
    </r>
  </si>
  <si>
    <r>
      <t xml:space="preserve">1. </t>
    </r>
    <r>
      <rPr>
        <b/>
        <sz val="10"/>
        <color theme="1"/>
        <rFont val="Arial Unicode MS"/>
        <family val="2"/>
      </rPr>
      <t>categorical_crossentropy</t>
    </r>
  </si>
  <si>
    <r>
      <t>레이블 형식</t>
    </r>
    <r>
      <rPr>
        <sz val="11"/>
        <color theme="1"/>
        <rFont val="맑은 고딕"/>
        <family val="2"/>
        <scheme val="minor"/>
      </rPr>
      <t>: **원-핫 인코딩(One-hot Encoding)**된 레이블을 사용합니다.</t>
    </r>
  </si>
  <si>
    <r>
      <t>설명</t>
    </r>
    <r>
      <rPr>
        <sz val="11"/>
        <color theme="1"/>
        <rFont val="맑은 고딕"/>
        <family val="2"/>
        <scheme val="minor"/>
      </rPr>
      <t xml:space="preserve">: 각 클래스에 대한 확률이 벡터로 표현되며, 벡터의 각 원소는 해당 클래스의 확률을 나타냅니다. 예를 들어, 3개의 클래스를 분류할 때 정답 레이블이 2번째 클래스라면, 레이블은 </t>
    </r>
    <r>
      <rPr>
        <sz val="10"/>
        <color theme="1"/>
        <rFont val="Arial Unicode MS"/>
        <family val="2"/>
      </rPr>
      <t>[0, 1, 0]</t>
    </r>
    <r>
      <rPr>
        <sz val="11"/>
        <color theme="1"/>
        <rFont val="맑은 고딕"/>
        <family val="2"/>
        <scheme val="minor"/>
      </rPr>
      <t>으로 표현됩니다.</t>
    </r>
  </si>
  <si>
    <t>python</t>
  </si>
  <si>
    <t>코드 복사</t>
  </si>
  <si>
    <t>y_true = [[0, 1, 0], [1, 0, 0], [0, 0, 1]]  # One-hot encoded labels</t>
  </si>
  <si>
    <t>y_pred = [[0.1, 0.8, 0.1], [0.7, 0.2, 0.1], [0.2, 0.1, 0.7]]  # Predicted probabilities</t>
  </si>
  <si>
    <r>
      <t xml:space="preserve">2. </t>
    </r>
    <r>
      <rPr>
        <b/>
        <sz val="10"/>
        <color theme="1"/>
        <rFont val="Arial Unicode MS"/>
        <family val="2"/>
      </rPr>
      <t>sparse_categorical_crossentropy</t>
    </r>
  </si>
  <si>
    <r>
      <t>레이블 형식</t>
    </r>
    <r>
      <rPr>
        <sz val="11"/>
        <color theme="1"/>
        <rFont val="맑은 고딕"/>
        <family val="2"/>
        <scheme val="minor"/>
      </rPr>
      <t>: **정수형 인코딩(Integer Encoding)**된 레이블을 사용합니다.</t>
    </r>
  </si>
  <si>
    <r>
      <t>설명</t>
    </r>
    <r>
      <rPr>
        <sz val="11"/>
        <color theme="1"/>
        <rFont val="맑은 고딕"/>
        <family val="2"/>
        <scheme val="minor"/>
      </rPr>
      <t xml:space="preserve">: 클래스 자체가 정수로 표현됩니다. 즉, 클래스의 인덱스만으로 레이블이 주어집니다. 예를 들어, 3개의 클래스가 있다면, 클래스 0, 클래스 1, 클래스 2에 해당하는 레이블은 각각 </t>
    </r>
    <r>
      <rPr>
        <sz val="10"/>
        <color theme="1"/>
        <rFont val="Arial Unicode MS"/>
        <family val="2"/>
      </rPr>
      <t>0</t>
    </r>
    <r>
      <rPr>
        <sz val="11"/>
        <color theme="1"/>
        <rFont val="맑은 고딕"/>
        <family val="2"/>
        <scheme val="minor"/>
      </rPr>
      <t xml:space="preserve">, </t>
    </r>
    <r>
      <rPr>
        <sz val="10"/>
        <color theme="1"/>
        <rFont val="Arial Unicode MS"/>
        <family val="2"/>
      </rPr>
      <t>1</t>
    </r>
    <r>
      <rPr>
        <sz val="11"/>
        <color theme="1"/>
        <rFont val="맑은 고딕"/>
        <family val="2"/>
        <scheme val="minor"/>
      </rPr>
      <t xml:space="preserve">, </t>
    </r>
    <r>
      <rPr>
        <sz val="10"/>
        <color theme="1"/>
        <rFont val="Arial Unicode MS"/>
        <family val="2"/>
      </rPr>
      <t>2</t>
    </r>
    <r>
      <rPr>
        <sz val="11"/>
        <color theme="1"/>
        <rFont val="맑은 고딕"/>
        <family val="2"/>
        <scheme val="minor"/>
      </rPr>
      <t>로 표현됩니다.</t>
    </r>
  </si>
  <si>
    <t>y_true = [1, 0, 2]  # Integer encoded labels</t>
  </si>
  <si>
    <t>주요 차이점 요약</t>
  </si>
  <si>
    <r>
      <t>1. 레이블 형식</t>
    </r>
    <r>
      <rPr>
        <sz val="11"/>
        <color theme="1"/>
        <rFont val="맑은 고딕"/>
        <family val="2"/>
        <scheme val="minor"/>
      </rPr>
      <t>:</t>
    </r>
  </si>
  <si>
    <r>
      <t>categorical_crossentropy</t>
    </r>
    <r>
      <rPr>
        <sz val="11"/>
        <color theme="1"/>
        <rFont val="맑은 고딕"/>
        <family val="2"/>
        <scheme val="minor"/>
      </rPr>
      <t xml:space="preserve">: </t>
    </r>
    <r>
      <rPr>
        <b/>
        <sz val="11"/>
        <color theme="1"/>
        <rFont val="맑은 고딕"/>
        <family val="3"/>
        <charset val="129"/>
        <scheme val="minor"/>
      </rPr>
      <t>원-핫 인코딩된 레이블</t>
    </r>
    <r>
      <rPr>
        <sz val="11"/>
        <color theme="1"/>
        <rFont val="맑은 고딕"/>
        <family val="2"/>
        <scheme val="minor"/>
      </rPr>
      <t>을 사용.</t>
    </r>
  </si>
  <si>
    <r>
      <t>sparse_categorical_crossentropy</t>
    </r>
    <r>
      <rPr>
        <sz val="11"/>
        <color theme="1"/>
        <rFont val="맑은 고딕"/>
        <family val="2"/>
        <scheme val="minor"/>
      </rPr>
      <t xml:space="preserve">: </t>
    </r>
    <r>
      <rPr>
        <b/>
        <sz val="11"/>
        <color theme="1"/>
        <rFont val="맑은 고딕"/>
        <family val="3"/>
        <charset val="129"/>
        <scheme val="minor"/>
      </rPr>
      <t>정수형 레이블</t>
    </r>
    <r>
      <rPr>
        <sz val="11"/>
        <color theme="1"/>
        <rFont val="맑은 고딕"/>
        <family val="2"/>
        <scheme val="minor"/>
      </rPr>
      <t>을 사용.</t>
    </r>
  </si>
  <si>
    <r>
      <t>2. 입력 준비</t>
    </r>
    <r>
      <rPr>
        <sz val="11"/>
        <color theme="1"/>
        <rFont val="맑은 고딕"/>
        <family val="2"/>
        <scheme val="minor"/>
      </rPr>
      <t>:</t>
    </r>
  </si>
  <si>
    <r>
      <t>categorical_crossentropy</t>
    </r>
    <r>
      <rPr>
        <sz val="11"/>
        <color theme="1"/>
        <rFont val="맑은 고딕"/>
        <family val="2"/>
        <scheme val="minor"/>
      </rPr>
      <t>를 사용하려면 레이블을 원-핫 인코딩해야 합니다.</t>
    </r>
  </si>
  <si>
    <r>
      <t>sparse_categorical_crossentropy</t>
    </r>
    <r>
      <rPr>
        <sz val="11"/>
        <color theme="1"/>
        <rFont val="맑은 고딕"/>
        <family val="2"/>
        <scheme val="minor"/>
      </rPr>
      <t>는 원-핫 인코딩이 필요 없으며, 각 클래스가 정수형 레이블로 지정됩니다.</t>
    </r>
  </si>
  <si>
    <t>사용 예시</t>
  </si>
  <si>
    <r>
      <t>**</t>
    </r>
    <r>
      <rPr>
        <sz val="10"/>
        <color theme="1"/>
        <rFont val="Arial Unicode MS"/>
        <family val="2"/>
      </rPr>
      <t>categorical_crossentropy</t>
    </r>
    <r>
      <rPr>
        <sz val="11"/>
        <color theme="1"/>
        <rFont val="맑은 고딕"/>
        <family val="2"/>
        <scheme val="minor"/>
      </rPr>
      <t>**는 레이블이 원-핫 인코딩된 상태라면 사용하고,</t>
    </r>
  </si>
  <si>
    <r>
      <t>**</t>
    </r>
    <r>
      <rPr>
        <sz val="10"/>
        <color theme="1"/>
        <rFont val="Arial Unicode MS"/>
        <family val="2"/>
      </rPr>
      <t>sparse_categorical_crossentropy</t>
    </r>
    <r>
      <rPr>
        <sz val="11"/>
        <color theme="1"/>
        <rFont val="맑은 고딕"/>
        <family val="2"/>
        <scheme val="minor"/>
      </rPr>
      <t>**는 레이블이 정수형으로 인코딩되어 있다면 사용합니다.</t>
    </r>
  </si>
  <si>
    <t>성능 및 메모리 효율성</t>
  </si>
  <si>
    <r>
      <t>메모리 효율성</t>
    </r>
    <r>
      <rPr>
        <sz val="11"/>
        <color theme="1"/>
        <rFont val="맑은 고딕"/>
        <family val="2"/>
        <scheme val="minor"/>
      </rPr>
      <t xml:space="preserve">: </t>
    </r>
    <r>
      <rPr>
        <sz val="10"/>
        <color theme="1"/>
        <rFont val="Arial Unicode MS"/>
        <family val="2"/>
      </rPr>
      <t>sparse_categorical_crossentropy</t>
    </r>
    <r>
      <rPr>
        <sz val="11"/>
        <color theme="1"/>
        <rFont val="맑은 고딕"/>
        <family val="2"/>
        <scheme val="minor"/>
      </rPr>
      <t>는 정수형 레이블을 사용하므로, 다수의 클래스가 있는 경우 원-핫 인코딩보다 메모리를 덜 사용합니다.</t>
    </r>
  </si>
  <si>
    <r>
      <t>모델 성능</t>
    </r>
    <r>
      <rPr>
        <sz val="11"/>
        <color theme="1"/>
        <rFont val="맑은 고딕"/>
        <family val="2"/>
        <scheme val="minor"/>
      </rPr>
      <t>: 두 손실 함수 모두 동일한 목적을 달성하므로, 모델의 성능 자체에는 차이가 없습니다. 다만 레이블 인코딩 방식이 다를 뿐입니다.</t>
    </r>
  </si>
  <si>
    <t>문장</t>
    <phoneticPr fontId="5" type="noConversion"/>
  </si>
  <si>
    <t>documents</t>
    <phoneticPr fontId="5" type="noConversion"/>
  </si>
  <si>
    <t>문장2</t>
  </si>
  <si>
    <t>문장3</t>
  </si>
  <si>
    <t>각</t>
    <phoneticPr fontId="5" type="noConversion"/>
  </si>
  <si>
    <t>텍스트의</t>
    <phoneticPr fontId="5" type="noConversion"/>
  </si>
  <si>
    <t>먼저</t>
    <phoneticPr fontId="5" type="noConversion"/>
  </si>
  <si>
    <t>단어를</t>
    <phoneticPr fontId="5" type="noConversion"/>
  </si>
  <si>
    <t>나누어</t>
    <phoneticPr fontId="5" type="noConversion"/>
  </si>
  <si>
    <t>토큰화합니다.</t>
    <phoneticPr fontId="5" type="noConversion"/>
  </si>
  <si>
    <t>단어로</t>
    <phoneticPr fontId="5" type="noConversion"/>
  </si>
  <si>
    <t>토큰화해야</t>
    <phoneticPr fontId="5" type="noConversion"/>
  </si>
  <si>
    <t>딥러닝에서</t>
    <phoneticPr fontId="5" type="noConversion"/>
  </si>
  <si>
    <t>인식됩니다</t>
  </si>
  <si>
    <t>토큰화한</t>
  </si>
  <si>
    <t>결과는</t>
  </si>
  <si>
    <t>사용할</t>
  </si>
  <si>
    <t>있습니다</t>
  </si>
  <si>
    <t>단어</t>
    <phoneticPr fontId="5" type="noConversion"/>
  </si>
  <si>
    <t>term</t>
    <phoneticPr fontId="5" type="noConversion"/>
  </si>
  <si>
    <t># 원핫인코딩 시 숫자배열로 만들어 놔야함, 그 숫자 배열은 순서가 있는 토큰으로 만듦</t>
  </si>
  <si>
    <t>token = Tokenizer()</t>
  </si>
  <si>
    <t>token.fit_on_texts([text])</t>
  </si>
  <si>
    <t>token.word_index</t>
  </si>
  <si>
    <t># 그 만든 숫자 배열을 0과1로만 이루어진 배열로  to_categorical을 통해 바꾸어야함</t>
  </si>
  <si>
    <t># 이 때 주의할 점은 배열 맨 앞에 0이 추가(시작, start of senteces, SOS)되어야 하므로 단어수보다 1이 더 많게 인덱스 숫자를 잡아주셔야 함</t>
  </si>
  <si>
    <t>{'오랫동안': 1, '꿈꾸는': 2, '이는': 3, '그': 4, '꿈을': 5, '닮아간다': 6}</t>
  </si>
  <si>
    <t>원핫인코딩을 사용했을 경우 벡터의 길이가 너무 길어진다는 단점이 있다, 예를 들어 1만개의 단어 토큰으로 이루어진 말뭉치(corpus)를 다룬다고 할 때</t>
    <phoneticPr fontId="5" type="noConversion"/>
  </si>
  <si>
    <t>벡터화하면 9,999개의 0과 하나의 1로 이루어진 희소행렬이 됨, 이러한 공간적 낭비를 해결하기 위해 등장한것이 단어 임베딩(word embedding)이라는 방법</t>
    <phoneticPr fontId="5" type="noConversion"/>
  </si>
  <si>
    <t>만약 16차원의 원 핫 인코딩을 사용해 만든 16차원 벡터가 있다고 할경우 이것을 4차원 벡터로 바꾸어 보면</t>
    <phoneticPr fontId="5" type="noConversion"/>
  </si>
  <si>
    <t>원 핫 인코딩</t>
    <phoneticPr fontId="5" type="noConversion"/>
  </si>
  <si>
    <t>워드 임베딩</t>
    <phoneticPr fontId="5" type="noConversion"/>
  </si>
  <si>
    <t xml:space="preserve">"임베딩"은 주어진 데이터를 저차원 공간으로 투영하는 과정을 의미합니다. 이 과정에서 데이터의 특성이나 구조를 보존하면서 차원을 축소하거나 변형시킵니다. </t>
    <phoneticPr fontId="5" type="noConversion"/>
  </si>
  <si>
    <t>이는 신경망에서 사용되는 용어로, 단어나 문장을 밀집 벡터(dense vector)로 변환하는 층을 말합니다.</t>
    <phoneticPr fontId="5" type="noConversion"/>
  </si>
  <si>
    <t>매장은 주로 "embedding"이 아닌 "embedding layer"와 같은 용어에서 나오는데, 이는 신경망에서 사용되는 용어로, 단어나 문장을 밀집 벡터(dense vector)로 변환하는 층을 말합니다.</t>
    <phoneticPr fontId="5" type="noConversion"/>
  </si>
  <si>
    <t>단어 임베딩으로 얻은 결과가 밀집된 정보를 가지고 있고 공간의 낭비가 적다는 것을 알 수 있음</t>
  </si>
  <si>
    <t>이러한 결과가 가능한 이유는 각 단어 간의 유사도를 계산했기 때문임</t>
  </si>
  <si>
    <r>
      <rPr>
        <sz val="8"/>
        <color rgb="FFFF0000"/>
        <rFont val="돋움"/>
        <family val="3"/>
        <charset val="129"/>
      </rPr>
      <t>예를</t>
    </r>
    <r>
      <rPr>
        <sz val="8"/>
        <color rgb="FFFF0000"/>
        <rFont val="Arial"/>
        <family val="2"/>
      </rPr>
      <t xml:space="preserve"> </t>
    </r>
    <r>
      <rPr>
        <sz val="8"/>
        <color rgb="FFFF0000"/>
        <rFont val="돋움"/>
        <family val="3"/>
        <charset val="129"/>
      </rPr>
      <t>들어</t>
    </r>
    <r>
      <rPr>
        <sz val="8"/>
        <color rgb="FFFF0000"/>
        <rFont val="Arial"/>
        <family val="2"/>
      </rPr>
      <t xml:space="preserve"> happy</t>
    </r>
    <r>
      <rPr>
        <sz val="8"/>
        <color rgb="FFFF0000"/>
        <rFont val="돋움"/>
        <family val="3"/>
        <charset val="129"/>
      </rPr>
      <t>라는</t>
    </r>
    <r>
      <rPr>
        <sz val="8"/>
        <color rgb="FFFF0000"/>
        <rFont val="Arial"/>
        <family val="2"/>
      </rPr>
      <t xml:space="preserve"> </t>
    </r>
    <r>
      <rPr>
        <sz val="8"/>
        <color rgb="FFFF0000"/>
        <rFont val="돋움"/>
        <family val="3"/>
        <charset val="129"/>
      </rPr>
      <t>단어는</t>
    </r>
    <r>
      <rPr>
        <sz val="8"/>
        <color rgb="FFFF0000"/>
        <rFont val="Arial"/>
        <family val="2"/>
      </rPr>
      <t xml:space="preserve"> bad</t>
    </r>
    <r>
      <rPr>
        <sz val="8"/>
        <color rgb="FFFF0000"/>
        <rFont val="돋움"/>
        <family val="3"/>
        <charset val="129"/>
      </rPr>
      <t>보다</t>
    </r>
    <r>
      <rPr>
        <sz val="8"/>
        <color rgb="FFFF0000"/>
        <rFont val="Arial"/>
        <family val="2"/>
      </rPr>
      <t xml:space="preserve"> good</t>
    </r>
    <r>
      <rPr>
        <sz val="8"/>
        <color rgb="FFFF0000"/>
        <rFont val="돋움"/>
        <family val="3"/>
        <charset val="129"/>
      </rPr>
      <t>에</t>
    </r>
    <r>
      <rPr>
        <sz val="8"/>
        <color rgb="FFFF0000"/>
        <rFont val="Arial"/>
        <family val="2"/>
      </rPr>
      <t xml:space="preserve"> </t>
    </r>
    <r>
      <rPr>
        <sz val="8"/>
        <color rgb="FFFF0000"/>
        <rFont val="돋움"/>
        <family val="3"/>
        <charset val="129"/>
      </rPr>
      <t>더</t>
    </r>
    <r>
      <rPr>
        <sz val="8"/>
        <color rgb="FFFF0000"/>
        <rFont val="Arial"/>
        <family val="2"/>
      </rPr>
      <t xml:space="preserve"> </t>
    </r>
    <r>
      <rPr>
        <sz val="8"/>
        <color rgb="FFFF0000"/>
        <rFont val="돋움"/>
        <family val="3"/>
        <charset val="129"/>
      </rPr>
      <t>가깝고</t>
    </r>
    <r>
      <rPr>
        <sz val="8"/>
        <color rgb="FFFF0000"/>
        <rFont val="Arial"/>
        <family val="2"/>
      </rPr>
      <t>, cat</t>
    </r>
    <r>
      <rPr>
        <sz val="8"/>
        <color rgb="FFFF0000"/>
        <rFont val="돋움"/>
        <family val="3"/>
        <charset val="129"/>
      </rPr>
      <t>이라는</t>
    </r>
    <r>
      <rPr>
        <sz val="8"/>
        <color rgb="FFFF0000"/>
        <rFont val="Arial"/>
        <family val="2"/>
      </rPr>
      <t xml:space="preserve"> </t>
    </r>
    <r>
      <rPr>
        <sz val="8"/>
        <color rgb="FFFF0000"/>
        <rFont val="돋움"/>
        <family val="3"/>
        <charset val="129"/>
      </rPr>
      <t>단어는</t>
    </r>
    <r>
      <rPr>
        <sz val="8"/>
        <color rgb="FFFF0000"/>
        <rFont val="Arial"/>
        <family val="2"/>
      </rPr>
      <t xml:space="preserve"> good</t>
    </r>
    <r>
      <rPr>
        <sz val="8"/>
        <color rgb="FFFF0000"/>
        <rFont val="돋움"/>
        <family val="3"/>
        <charset val="129"/>
      </rPr>
      <t>보다는</t>
    </r>
    <r>
      <rPr>
        <sz val="8"/>
        <color rgb="FFFF0000"/>
        <rFont val="Arial"/>
        <family val="2"/>
      </rPr>
      <t xml:space="preserve"> dog</t>
    </r>
    <r>
      <rPr>
        <sz val="8"/>
        <color rgb="FFFF0000"/>
        <rFont val="돋움"/>
        <family val="3"/>
        <charset val="129"/>
      </rPr>
      <t>에</t>
    </r>
    <r>
      <rPr>
        <sz val="8"/>
        <color rgb="FFFF0000"/>
        <rFont val="Arial"/>
        <family val="2"/>
      </rPr>
      <t xml:space="preserve"> </t>
    </r>
    <r>
      <rPr>
        <sz val="8"/>
        <color rgb="FFFF0000"/>
        <rFont val="돋움"/>
        <family val="3"/>
        <charset val="129"/>
      </rPr>
      <t>가깝다는</t>
    </r>
    <r>
      <rPr>
        <sz val="8"/>
        <color rgb="FFFF0000"/>
        <rFont val="Arial"/>
        <family val="2"/>
      </rPr>
      <t xml:space="preserve"> </t>
    </r>
    <r>
      <rPr>
        <sz val="8"/>
        <color rgb="FFFF0000"/>
        <rFont val="돋움"/>
        <family val="3"/>
        <charset val="129"/>
      </rPr>
      <t>것을</t>
    </r>
    <r>
      <rPr>
        <sz val="8"/>
        <color rgb="FFFF0000"/>
        <rFont val="Arial"/>
        <family val="2"/>
      </rPr>
      <t xml:space="preserve"> </t>
    </r>
    <r>
      <rPr>
        <sz val="8"/>
        <color rgb="FFFF0000"/>
        <rFont val="돋움"/>
        <family val="3"/>
        <charset val="129"/>
      </rPr>
      <t>고려해</t>
    </r>
    <r>
      <rPr>
        <sz val="8"/>
        <color rgb="FFFF0000"/>
        <rFont val="Arial"/>
        <family val="2"/>
      </rPr>
      <t xml:space="preserve"> </t>
    </r>
    <r>
      <rPr>
        <sz val="8"/>
        <color rgb="FFFF0000"/>
        <rFont val="돋움"/>
        <family val="3"/>
        <charset val="129"/>
      </rPr>
      <t>각</t>
    </r>
    <r>
      <rPr>
        <sz val="8"/>
        <color rgb="FFFF0000"/>
        <rFont val="Arial"/>
        <family val="2"/>
      </rPr>
      <t xml:space="preserve"> </t>
    </r>
    <r>
      <rPr>
        <sz val="8"/>
        <color rgb="FFFF0000"/>
        <rFont val="돋움"/>
        <family val="3"/>
        <charset val="129"/>
      </rPr>
      <t>배열을</t>
    </r>
    <r>
      <rPr>
        <sz val="8"/>
        <color rgb="FFFF0000"/>
        <rFont val="Arial"/>
        <family val="2"/>
      </rPr>
      <t xml:space="preserve"> </t>
    </r>
    <r>
      <rPr>
        <sz val="8"/>
        <color rgb="FFFF0000"/>
        <rFont val="돋움"/>
        <family val="3"/>
        <charset val="129"/>
      </rPr>
      <t>새로운</t>
    </r>
    <r>
      <rPr>
        <sz val="8"/>
        <color rgb="FFFF0000"/>
        <rFont val="Arial"/>
        <family val="2"/>
      </rPr>
      <t xml:space="preserve"> </t>
    </r>
    <r>
      <rPr>
        <sz val="8"/>
        <color rgb="FFFF0000"/>
        <rFont val="돋움"/>
        <family val="3"/>
        <charset val="129"/>
      </rPr>
      <t>수치로</t>
    </r>
    <r>
      <rPr>
        <sz val="8"/>
        <color rgb="FFFF0000"/>
        <rFont val="Arial"/>
        <family val="2"/>
      </rPr>
      <t xml:space="preserve"> </t>
    </r>
    <r>
      <rPr>
        <sz val="8"/>
        <color rgb="FFFF0000"/>
        <rFont val="돋움"/>
        <family val="3"/>
        <charset val="129"/>
      </rPr>
      <t>바꾸어</t>
    </r>
    <r>
      <rPr>
        <sz val="8"/>
        <color rgb="FFFF0000"/>
        <rFont val="Arial"/>
        <family val="2"/>
      </rPr>
      <t xml:space="preserve"> </t>
    </r>
    <r>
      <rPr>
        <sz val="8"/>
        <color rgb="FFFF0000"/>
        <rFont val="돋움"/>
        <family val="3"/>
        <charset val="129"/>
      </rPr>
      <t>주는</t>
    </r>
    <r>
      <rPr>
        <sz val="8"/>
        <color rgb="FFFF0000"/>
        <rFont val="Arial"/>
        <family val="2"/>
      </rPr>
      <t xml:space="preserve"> </t>
    </r>
    <r>
      <rPr>
        <sz val="8"/>
        <color rgb="FFFF0000"/>
        <rFont val="돋움"/>
        <family val="3"/>
        <charset val="129"/>
      </rPr>
      <t>것</t>
    </r>
    <r>
      <rPr>
        <sz val="8"/>
        <color rgb="FFFF0000"/>
        <rFont val="Arial"/>
        <family val="2"/>
      </rPr>
      <t>(</t>
    </r>
    <r>
      <rPr>
        <sz val="8"/>
        <color rgb="FFFF0000"/>
        <rFont val="돋움"/>
        <family val="3"/>
        <charset val="129"/>
      </rPr>
      <t>아래</t>
    </r>
    <r>
      <rPr>
        <sz val="8"/>
        <color rgb="FFFF0000"/>
        <rFont val="Arial"/>
        <family val="2"/>
      </rPr>
      <t xml:space="preserve"> </t>
    </r>
    <r>
      <rPr>
        <sz val="8"/>
        <color rgb="FFFF0000"/>
        <rFont val="돋움"/>
        <family val="3"/>
        <charset val="129"/>
      </rPr>
      <t>그림</t>
    </r>
    <r>
      <rPr>
        <sz val="8"/>
        <color rgb="FFFF0000"/>
        <rFont val="Arial"/>
        <family val="2"/>
      </rPr>
      <t xml:space="preserve"> </t>
    </r>
    <r>
      <rPr>
        <sz val="8"/>
        <color rgb="FFFF0000"/>
        <rFont val="돋움"/>
        <family val="3"/>
        <charset val="129"/>
      </rPr>
      <t>참조</t>
    </r>
    <r>
      <rPr>
        <sz val="8"/>
        <color rgb="FFFF0000"/>
        <rFont val="Arial"/>
        <family val="2"/>
      </rPr>
      <t>)</t>
    </r>
    <phoneticPr fontId="5" type="noConversion"/>
  </si>
  <si>
    <t>단어 임베딩</t>
  </si>
  <si>
    <t>여기서 앞서 배운 오차 역전파가 또다시 등장함</t>
  </si>
  <si>
    <t>적절한 크기로 배열을 바꾸어 주기 위해 최적의 유사도를 계산하는 학습 과정을 거치는 것</t>
  </si>
  <si>
    <t>이 과정은 케라스에서 제공하는 Embedding() 함수를 사용하면 간단히 해낼 수 있음</t>
  </si>
  <si>
    <t>예를 들어 다음과 같이 Embedding() 함수를 적용해 딥러닝 모델을 만들 수 있음</t>
  </si>
  <si>
    <t>그렇다면 이 단어 간 유사도는 어떻게 계산하는 것일까?</t>
    <phoneticPr fontId="5" type="noConversion"/>
  </si>
  <si>
    <t>Integer. Dimension of the dense embedding.</t>
  </si>
  <si>
    <t>tf.keras.layers.Embedding(</t>
  </si>
  <si>
    <t xml:space="preserve">    input_dim,</t>
  </si>
  <si>
    <t xml:space="preserve">    output_dim,</t>
  </si>
  <si>
    <t xml:space="preserve">    embeddings_initializer=&amp;#x27;uniform',</t>
  </si>
  <si>
    <t xml:space="preserve">    embeddings_regularizer=None,</t>
  </si>
  <si>
    <t xml:space="preserve">    embeddings_constraint=None,</t>
  </si>
  <si>
    <t xml:space="preserve">    mask_zero=False,</t>
  </si>
  <si>
    <t xml:space="preserve">    weights=None,</t>
  </si>
  <si>
    <t xml:space="preserve">    lora_rank=None,</t>
  </si>
  <si>
    <t>Integer. Size of the vocabulary, i.e. maximum integer index + 1.</t>
    <phoneticPr fontId="5" type="noConversion"/>
  </si>
  <si>
    <r>
      <t>from</t>
    </r>
    <r>
      <rPr>
        <sz val="11"/>
        <color rgb="FF000000"/>
        <rFont val="Consolas"/>
        <family val="3"/>
      </rPr>
      <t xml:space="preserve"> tensorflow.keras.layers </t>
    </r>
    <r>
      <rPr>
        <sz val="11"/>
        <color rgb="FF0000FF"/>
        <rFont val="Consolas"/>
        <family val="3"/>
      </rPr>
      <t>import</t>
    </r>
    <r>
      <rPr>
        <sz val="11"/>
        <color rgb="FF000000"/>
        <rFont val="Consolas"/>
        <family val="3"/>
      </rPr>
      <t xml:space="preserve"> Embedding</t>
    </r>
  </si>
  <si>
    <r>
      <t>from</t>
    </r>
    <r>
      <rPr>
        <sz val="11"/>
        <color rgb="FF000000"/>
        <rFont val="Consolas"/>
        <family val="3"/>
      </rPr>
      <t xml:space="preserve"> tensorflow.keras.models </t>
    </r>
    <r>
      <rPr>
        <sz val="11"/>
        <color rgb="FF0000FF"/>
        <rFont val="Consolas"/>
        <family val="3"/>
      </rPr>
      <t>import</t>
    </r>
    <r>
      <rPr>
        <sz val="11"/>
        <color rgb="FF000000"/>
        <rFont val="Consolas"/>
        <family val="3"/>
      </rPr>
      <t xml:space="preserve"> Sequential</t>
    </r>
  </si>
  <si>
    <r>
      <t>model.add(Embedding(</t>
    </r>
    <r>
      <rPr>
        <sz val="11"/>
        <color rgb="FF098658"/>
        <rFont val="Consolas"/>
        <family val="3"/>
      </rPr>
      <t>16</t>
    </r>
    <r>
      <rPr>
        <sz val="11"/>
        <color rgb="FF000000"/>
        <rFont val="Consolas"/>
        <family val="3"/>
      </rPr>
      <t>,</t>
    </r>
    <r>
      <rPr>
        <sz val="11"/>
        <color rgb="FF098658"/>
        <rFont val="Consolas"/>
        <family val="3"/>
      </rPr>
      <t>4</t>
    </r>
    <r>
      <rPr>
        <sz val="11"/>
        <color rgb="FF000000"/>
        <rFont val="Consolas"/>
        <family val="3"/>
      </rPr>
      <t>))</t>
    </r>
  </si>
  <si>
    <t>token.texts_to_sequences([text])</t>
    <phoneticPr fontId="5" type="noConversion"/>
  </si>
  <si>
    <t>x = token.texts_to_sequences([text])</t>
    <phoneticPr fontId="5" type="noConversion"/>
  </si>
  <si>
    <t>to_categorical(x, num_classes=word_size)</t>
    <phoneticPr fontId="5" type="noConversion"/>
  </si>
  <si>
    <r>
      <t>docs = [</t>
    </r>
    <r>
      <rPr>
        <sz val="11"/>
        <color rgb="FFA31515"/>
        <rFont val="Consolas"/>
        <family val="3"/>
      </rPr>
      <t>"너무 재밌네요"</t>
    </r>
    <r>
      <rPr>
        <sz val="11"/>
        <color rgb="FF000000"/>
        <rFont val="Consolas"/>
        <family val="3"/>
      </rPr>
      <t xml:space="preserve">, </t>
    </r>
    <r>
      <rPr>
        <sz val="11"/>
        <color rgb="FFA31515"/>
        <rFont val="Consolas"/>
        <family val="3"/>
      </rPr>
      <t>"최고예요"</t>
    </r>
    <r>
      <rPr>
        <sz val="11"/>
        <color rgb="FF000000"/>
        <rFont val="Consolas"/>
        <family val="3"/>
      </rPr>
      <t xml:space="preserve">, </t>
    </r>
    <r>
      <rPr>
        <sz val="11"/>
        <color rgb="FFA31515"/>
        <rFont val="Consolas"/>
        <family val="3"/>
      </rPr>
      <t>"참 잘 만든 영화예요"</t>
    </r>
    <r>
      <rPr>
        <sz val="11"/>
        <color rgb="FF000000"/>
        <rFont val="Consolas"/>
        <family val="3"/>
      </rPr>
      <t xml:space="preserve">, </t>
    </r>
    <r>
      <rPr>
        <sz val="11"/>
        <color rgb="FFA31515"/>
        <rFont val="Consolas"/>
        <family val="3"/>
      </rPr>
      <t>"추천하고 싶은 영화입니다"</t>
    </r>
    <r>
      <rPr>
        <sz val="11"/>
        <color rgb="FF000000"/>
        <rFont val="Consolas"/>
        <family val="3"/>
      </rPr>
      <t>,</t>
    </r>
  </si>
  <si>
    <r>
      <t xml:space="preserve">        </t>
    </r>
    <r>
      <rPr>
        <sz val="11"/>
        <color rgb="FFA31515"/>
        <rFont val="Consolas"/>
        <family val="3"/>
      </rPr>
      <t>"한번 더 보고싶네요"</t>
    </r>
    <r>
      <rPr>
        <sz val="11"/>
        <color rgb="FF000000"/>
        <rFont val="Consolas"/>
        <family val="3"/>
      </rPr>
      <t xml:space="preserve">, </t>
    </r>
    <r>
      <rPr>
        <sz val="11"/>
        <color rgb="FFA31515"/>
        <rFont val="Consolas"/>
        <family val="3"/>
      </rPr>
      <t>"글쎄요"</t>
    </r>
    <r>
      <rPr>
        <sz val="11"/>
        <color rgb="FF000000"/>
        <rFont val="Consolas"/>
        <family val="3"/>
      </rPr>
      <t xml:space="preserve">, </t>
    </r>
    <r>
      <rPr>
        <sz val="11"/>
        <color rgb="FFA31515"/>
        <rFont val="Consolas"/>
        <family val="3"/>
      </rPr>
      <t>"별로예요"</t>
    </r>
    <r>
      <rPr>
        <sz val="11"/>
        <color rgb="FF000000"/>
        <rFont val="Consolas"/>
        <family val="3"/>
      </rPr>
      <t xml:space="preserve">, </t>
    </r>
    <r>
      <rPr>
        <sz val="11"/>
        <color rgb="FFA31515"/>
        <rFont val="Consolas"/>
        <family val="3"/>
      </rPr>
      <t>"생각보다 지루하네요"</t>
    </r>
    <r>
      <rPr>
        <sz val="11"/>
        <color rgb="FF000000"/>
        <rFont val="Consolas"/>
        <family val="3"/>
      </rPr>
      <t xml:space="preserve">, </t>
    </r>
    <r>
      <rPr>
        <sz val="11"/>
        <color rgb="FFA31515"/>
        <rFont val="Consolas"/>
        <family val="3"/>
      </rPr>
      <t>"연기가 어색해요"</t>
    </r>
    <r>
      <rPr>
        <sz val="11"/>
        <color rgb="FF000000"/>
        <rFont val="Consolas"/>
        <family val="3"/>
      </rPr>
      <t xml:space="preserve">, </t>
    </r>
    <r>
      <rPr>
        <sz val="11"/>
        <color rgb="FFA31515"/>
        <rFont val="Consolas"/>
        <family val="3"/>
      </rPr>
      <t>"재미없어요"</t>
    </r>
    <r>
      <rPr>
        <sz val="11"/>
        <color rgb="FF000000"/>
        <rFont val="Consolas"/>
        <family val="3"/>
      </rPr>
      <t>]</t>
    </r>
  </si>
  <si>
    <r>
      <t>import</t>
    </r>
    <r>
      <rPr>
        <sz val="11"/>
        <color rgb="FF000000"/>
        <rFont val="Consolas"/>
        <family val="3"/>
      </rPr>
      <t xml:space="preserve"> numpy </t>
    </r>
    <r>
      <rPr>
        <sz val="11"/>
        <color rgb="FF0000FF"/>
        <rFont val="Consolas"/>
        <family val="3"/>
      </rPr>
      <t>as</t>
    </r>
    <r>
      <rPr>
        <sz val="11"/>
        <color rgb="FF000000"/>
        <rFont val="Consolas"/>
        <family val="3"/>
      </rPr>
      <t xml:space="preserve"> np</t>
    </r>
  </si>
  <si>
    <r>
      <t>label = np.array([</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t>
    </r>
  </si>
  <si>
    <t>token.fit_on_texts(docs)</t>
  </si>
  <si>
    <t>token.texts_to_sequences(docs)</t>
  </si>
  <si>
    <r>
      <t xml:space="preserve">max([len(i) </t>
    </r>
    <r>
      <rPr>
        <sz val="11"/>
        <color rgb="FF0000FF"/>
        <rFont val="Consolas"/>
        <family val="3"/>
      </rPr>
      <t>for</t>
    </r>
    <r>
      <rPr>
        <sz val="11"/>
        <color rgb="FF000000"/>
        <rFont val="Consolas"/>
        <family val="3"/>
      </rPr>
      <t xml:space="preserve"> i </t>
    </r>
    <r>
      <rPr>
        <sz val="11"/>
        <color rgb="FF0000FF"/>
        <rFont val="Consolas"/>
        <family val="3"/>
      </rPr>
      <t>in</t>
    </r>
    <r>
      <rPr>
        <sz val="11"/>
        <color rgb="FF000000"/>
        <rFont val="Consolas"/>
        <family val="3"/>
      </rPr>
      <t xml:space="preserve"> token.texts_to_sequences(docs)])</t>
    </r>
  </si>
  <si>
    <r>
      <t>from</t>
    </r>
    <r>
      <rPr>
        <sz val="11"/>
        <color rgb="FF000000"/>
        <rFont val="Consolas"/>
        <family val="3"/>
      </rPr>
      <t xml:space="preserve"> tensorflow.keras.utils </t>
    </r>
    <r>
      <rPr>
        <sz val="11"/>
        <color rgb="FF0000FF"/>
        <rFont val="Consolas"/>
        <family val="3"/>
      </rPr>
      <t>import</t>
    </r>
    <r>
      <rPr>
        <sz val="11"/>
        <color rgb="FF000000"/>
        <rFont val="Consolas"/>
        <family val="3"/>
      </rPr>
      <t xml:space="preserve"> *</t>
    </r>
  </si>
  <si>
    <t>x = token.texts_to_sequences(docs)</t>
  </si>
  <si>
    <r>
      <t>word_size = len(token.word_index)+</t>
    </r>
    <r>
      <rPr>
        <sz val="11"/>
        <color rgb="FF098658"/>
        <rFont val="Consolas"/>
        <family val="3"/>
      </rPr>
      <t>1</t>
    </r>
  </si>
  <si>
    <r>
      <t xml:space="preserve">padded_x = pad_sequences(x, </t>
    </r>
    <r>
      <rPr>
        <sz val="11"/>
        <color rgb="FF098658"/>
        <rFont val="Consolas"/>
        <family val="3"/>
      </rPr>
      <t>4</t>
    </r>
    <r>
      <rPr>
        <sz val="11"/>
        <color rgb="FF000000"/>
        <rFont val="Consolas"/>
        <family val="3"/>
      </rPr>
      <t>)</t>
    </r>
  </si>
  <si>
    <t>단어 하나하나가 차원이 21차원이므로</t>
    <phoneticPr fontId="5" type="noConversion"/>
  </si>
  <si>
    <t>차원 축소</t>
    <phoneticPr fontId="5" type="noConversion"/>
  </si>
  <si>
    <t>워드 임베딩으로 축소해야함, 이때 축소하는 차원은 8로 정했다.</t>
    <phoneticPr fontId="5" type="noConversion"/>
  </si>
  <si>
    <t>시작</t>
    <phoneticPr fontId="5" type="noConversion"/>
  </si>
  <si>
    <t>너무</t>
    <phoneticPr fontId="5" type="noConversion"/>
  </si>
  <si>
    <t>재밌네요</t>
    <phoneticPr fontId="5" type="noConversion"/>
  </si>
  <si>
    <t>21차원</t>
    <phoneticPr fontId="5" type="noConversion"/>
  </si>
  <si>
    <t>재미없어요</t>
    <phoneticPr fontId="5" type="noConversion"/>
  </si>
  <si>
    <t>너무</t>
    <phoneticPr fontId="5" type="noConversion"/>
  </si>
  <si>
    <t>재밌네요</t>
    <phoneticPr fontId="5" type="noConversion"/>
  </si>
  <si>
    <t>최고예요</t>
    <phoneticPr fontId="5" type="noConversion"/>
  </si>
  <si>
    <t>참</t>
    <phoneticPr fontId="5" type="noConversion"/>
  </si>
  <si>
    <t>input_length</t>
  </si>
  <si>
    <t>Flatten</t>
    <phoneticPr fontId="5" type="noConversion"/>
  </si>
  <si>
    <t>Dense</t>
    <phoneticPr fontId="5" type="noConversion"/>
  </si>
  <si>
    <t>Embedding(21,8,)</t>
    <phoneticPr fontId="5" type="noConversion"/>
  </si>
  <si>
    <t>로이터 뉴스 카테고리 분류</t>
    <phoneticPr fontId="5" type="noConversion"/>
  </si>
  <si>
    <t># 첫번째 뉴스 기사</t>
  </si>
  <si>
    <r>
      <t>print(X_train[</t>
    </r>
    <r>
      <rPr>
        <sz val="11"/>
        <color rgb="FF098658"/>
        <rFont val="Consolas"/>
        <family val="3"/>
      </rPr>
      <t>0</t>
    </r>
    <r>
      <rPr>
        <sz val="11"/>
        <color rgb="FF000000"/>
        <rFont val="Consolas"/>
        <family val="3"/>
      </rPr>
      <t>], end=</t>
    </r>
    <r>
      <rPr>
        <sz val="11"/>
        <color rgb="FFA31515"/>
        <rFont val="Consolas"/>
        <family val="3"/>
      </rPr>
      <t>''</t>
    </r>
    <r>
      <rPr>
        <sz val="11"/>
        <color rgb="FF000000"/>
        <rFont val="Consolas"/>
        <family val="3"/>
      </rPr>
      <t>)</t>
    </r>
  </si>
  <si>
    <t>[1, 2, 2, 8, 43, 10, 447, 5, 25, 207, 270, 5, 2, 111, 16, 369, 186, 90, 67, 7, 89, 5, 19, 102, 6, 19, 124, 15, 90, 67, 84, 22, 482, 26, 7, 48, 4, 49, 8, 864, 39, 209, 154, 6, 151, 6, 83, 11, 15, 22, 155, 11, 15, 7, 48, 9, 2, 2, 504, 6, 258, 6, 272, 11, 15, 22, 134, 44, 11, 15, 16, 8, 197, 2, 90, 67, 52, 29, 209, 30, 32, 132, 6, 109, 15, 17, 12]</t>
  </si>
  <si>
    <t>숫자가 의미하는 것은 해당 단어가 몇 번이나 나타나는지 세어 빈도에 따라 번호를 붙임</t>
    <phoneticPr fontId="5" type="noConversion"/>
  </si>
  <si>
    <t>뉴스 기사 건수</t>
    <phoneticPr fontId="5" type="noConversion"/>
  </si>
  <si>
    <t>예를 들어, 다음과 같은 뉴스 기사가 있다고 가정해 봅시다.</t>
  </si>
  <si>
    <t>"the stock market is booming"</t>
  </si>
  <si>
    <t>정수 인코딩 과정</t>
  </si>
  <si>
    <t>빈도가 가장 높은 단어는 1번, 그다음은 2번 식</t>
  </si>
  <si>
    <t>각 뉴스 기사는 단어들의 순서를 유지한 채로 정수 인덱스 배열로 변환됩니다.</t>
  </si>
  <si>
    <t>[1, 45, 78, 10, 54]</t>
  </si>
  <si>
    <t>GPU 모델명</t>
    <phoneticPr fontId="5" type="noConversion"/>
  </si>
  <si>
    <t>NVIDIA GeForce RTX 3060</t>
    <phoneticPr fontId="5" type="noConversion"/>
  </si>
  <si>
    <t>wsl -l -v</t>
  </si>
  <si>
    <t xml:space="preserve">  NAME              STATE           VERSION</t>
  </si>
  <si>
    <t>* Ubuntu            Running         2</t>
  </si>
  <si>
    <t xml:space="preserve">  docker-desktop    Stopped         2</t>
  </si>
  <si>
    <t xml:space="preserve">  Ubuntu-22.04      Running         2</t>
  </si>
  <si>
    <t>Geforce RTX 3060</t>
  </si>
  <si>
    <t>cuda</t>
    <phoneticPr fontId="5" type="noConversion"/>
  </si>
  <si>
    <t>cudnn</t>
    <phoneticPr fontId="5" type="noConversion"/>
  </si>
  <si>
    <t>cudnn에 있는 폴더 붙여 넣기</t>
    <phoneticPr fontId="5" type="noConversion"/>
  </si>
  <si>
    <t>conda create -n gputestfinal1 python=3.7</t>
  </si>
  <si>
    <t>conda activate gputestfinal1</t>
  </si>
  <si>
    <t>pip install tensorflow-gpu==2.8</t>
  </si>
  <si>
    <t>pip uninstall protobuf</t>
  </si>
  <si>
    <t>pip install protobuf==3.20</t>
  </si>
  <si>
    <t>[PhysicalDevice(name='/physical_device:GPU:0', device_type='GPU')]</t>
  </si>
  <si>
    <t>&gt;&gt;&gt; import tensorflow as tf</t>
    <phoneticPr fontId="5" type="noConversion"/>
  </si>
  <si>
    <t>&gt;&gt;&gt; tf.config.list_physical_devices('GPU')</t>
    <phoneticPr fontId="5" type="noConversion"/>
  </si>
  <si>
    <t>뉴스기사1</t>
    <phoneticPr fontId="5" type="noConversion"/>
  </si>
  <si>
    <t>뉴스기사2</t>
  </si>
  <si>
    <t>뉴스기사8982</t>
    <phoneticPr fontId="5" type="noConversion"/>
  </si>
  <si>
    <t>문장 시작</t>
    <phoneticPr fontId="5" type="noConversion"/>
  </si>
  <si>
    <t>패딩</t>
    <phoneticPr fontId="5" type="noConversion"/>
  </si>
  <si>
    <t>카테고리</t>
    <phoneticPr fontId="5" type="noConversion"/>
  </si>
  <si>
    <t>정치</t>
    <phoneticPr fontId="5" type="noConversion"/>
  </si>
  <si>
    <t>len(np.unique(y_train))</t>
    <phoneticPr fontId="5" type="noConversion"/>
  </si>
  <si>
    <t xml:space="preserve">46가지의 </t>
    <phoneticPr fontId="5" type="noConversion"/>
  </si>
  <si>
    <t>100*8982</t>
    <phoneticPr fontId="5" type="noConversion"/>
  </si>
  <si>
    <t>LSTM</t>
    <phoneticPr fontId="5" type="noConversion"/>
  </si>
  <si>
    <t>100개 노드</t>
    <phoneticPr fontId="5" type="noConversion"/>
  </si>
  <si>
    <t>num_words=1000로 빈도수가 1000개(1000차원)인 단어만 추출한 후 100차원로 차원축소(임베딩층을 이용)</t>
    <phoneticPr fontId="5" type="noConversion"/>
  </si>
  <si>
    <t>tf.keras.layers.LSTM(</t>
  </si>
  <si>
    <t xml:space="preserve">    units,</t>
  </si>
  <si>
    <t xml:space="preserve">    activation=&amp;#x27;tanh',</t>
  </si>
  <si>
    <t xml:space="preserve">    recurrent_activation=&amp;#x27;sigmoid',</t>
  </si>
  <si>
    <t xml:space="preserve">    recurrent_initializer=&amp;#x27;orthogonal',</t>
  </si>
  <si>
    <t xml:space="preserve">    unit_forget_bias=True,</t>
  </si>
  <si>
    <t xml:space="preserve">    recurrent_regularizer=None,</t>
  </si>
  <si>
    <t xml:space="preserve">    recurrent_constraint=None,</t>
  </si>
  <si>
    <t xml:space="preserve">    dropout=0.0,</t>
  </si>
  <si>
    <t xml:space="preserve">    recurrent_dropout=0.0,</t>
  </si>
  <si>
    <t xml:space="preserve">    seed=None,</t>
  </si>
  <si>
    <t xml:space="preserve">    return_sequences=False,</t>
  </si>
  <si>
    <t xml:space="preserve">    return_state=False,</t>
  </si>
  <si>
    <t xml:space="preserve">    go_backwards=False,</t>
  </si>
  <si>
    <t xml:space="preserve">    stateful=False,</t>
  </si>
  <si>
    <t xml:space="preserve">    unroll=False,</t>
  </si>
  <si>
    <t xml:space="preserve">    use_cudnn=&amp;#x27;auto',</t>
  </si>
  <si>
    <t>RNN (Recurrent Neural Network)에서 하이퍼볼릭 탄젠트 함수(tanh)가 활성화 함수로 자주 사용되는 이유</t>
  </si>
  <si>
    <t>비선형성: tanh 함수는 비선형 함수로, 신경망이 복잡한 패턴과 관계를 학습할 수 있게 합니다. 비선형 활성화 함수가 없으면 신경망은 단순한 선형 변환을 할 수밖에 없으므로, 표현력과 모델의 성능이 크게 제한됩니다.</t>
  </si>
  <si>
    <t>출력 범위: tanh 함수는 출력 값을 -1에서 1 사이로 정규화합니다. 이는 시그모이드 함수의 출력 범위인 0에서 1 사이보다 더 넓은 범위를 가지며, 
중앙값이 0이기 때문에 데이터가 더 잘 분포될 수 있습니다. 이는 특히 양수와 음수 값을 균형 있게 표현하는 데 유리합니다.</t>
  </si>
  <si>
    <t>기울기 소실 완화: tanh 함수는 시그모이드 함수와 마찬가지로 미분값이 출력에 의해 조절되지만, -1에서 1 사이의 출력을 가지므로 기울기 소실 문제를 완화하는 데 다소 유리합니다. 
시그모이드 함수에 비해 tanh 함수는 기울기를 더 잘 보존할 수 있습니다. 이는 특히 깊은 네트워크에서 중요한 특성입니다.</t>
  </si>
  <si>
    <t>중심성: tanh 함수의 출력이 0을 중심으로 대칭적입니다. 이는 입력 데이터가 양수와 음수 값을 가질 때 더 자연스럽게 데이터 분포를 처리할 수 있도록 도와줍니다. 
RNN에서는 시계열 데이터나 순차 데이터를 처리하는 경우가 많기 때문에, 데이터의 중심을 0으로 맞추는 것이 학습에 유리할 수 있습니다.</t>
  </si>
  <si>
    <t>수렴 속도: 중심이 0인 활성화 함수(tanh 함수)를 사용하면, 네트워크의 가중치 업데이트가 더 균형 있게 이루어져 수렴 속도가 빨라질 수 있습니다. 
이는 학습 과정에서의 안정성을 높이고, 효율적인 학습을 도와줍니다.</t>
  </si>
  <si>
    <t>이러한 이유들로 인해 RNN에서 하이퍼볼릭 탄젠트 함수(tanh)가 활성화 함수로 자주 사용됩니다. 다만, 최근에는 LSTM(Long Short-Term Memory)이나 GRU(Gated Recurrent Unit)와 같은 구조가 RNN의 기울기 소실 문제를 효과적으로 해결하면서 더 많이 사용되고 있으며, 
이들 구조에서는 ReLU와 같은 다른 활성화 함수도 활용될 수 있습니다.</t>
  </si>
  <si>
    <t>Dense</t>
    <phoneticPr fontId="5" type="noConversion"/>
  </si>
  <si>
    <t>임베딩 1000 * 100</t>
    <phoneticPr fontId="5" type="noConversion"/>
  </si>
  <si>
    <t>가중치 구하는 방식</t>
    <phoneticPr fontId="5" type="noConversion"/>
  </si>
  <si>
    <t>four gates: input, forget, cell, output gate)</t>
  </si>
  <si>
    <r>
      <t>Input Weight (W)</t>
    </r>
    <r>
      <rPr>
        <sz val="11"/>
        <color theme="1"/>
        <rFont val="맑은 고딕"/>
        <family val="2"/>
        <scheme val="minor"/>
      </rPr>
      <t>: 입력에서 오는 가중치</t>
    </r>
  </si>
  <si>
    <r>
      <t>Recurrent Weight (U)</t>
    </r>
    <r>
      <rPr>
        <sz val="11"/>
        <color theme="1"/>
        <rFont val="맑은 고딕"/>
        <family val="2"/>
        <scheme val="minor"/>
      </rPr>
      <t>: 이전 타임스텝에서 오는 가중치</t>
    </r>
  </si>
  <si>
    <r>
      <t>Bias (b)</t>
    </r>
    <r>
      <rPr>
        <sz val="11"/>
        <color theme="1"/>
        <rFont val="맑은 고딕"/>
        <family val="2"/>
        <scheme val="minor"/>
      </rPr>
      <t>: 각 게이트에 대해 하나씩 존재하는 바이어스</t>
    </r>
  </si>
  <si>
    <t>LSTM에서는 4개의 게이트가 있으므로, 각 게이트에 대한 가중치가 필요합니다.</t>
  </si>
  <si>
    <t>가중치 계산은 다음과 같이 진행됩니다:</t>
  </si>
  <si>
    <t>Input 가중치 (W)</t>
  </si>
  <si>
    <t xml:space="preserve">W=Input Size×4×Units = </t>
    <phoneticPr fontId="5" type="noConversion"/>
  </si>
  <si>
    <t>Recurrent 가중치 (U)</t>
  </si>
  <si>
    <t xml:space="preserve">U=Units×4×UnitsU = </t>
    <phoneticPr fontId="5" type="noConversion"/>
  </si>
  <si>
    <t>Bias (b)</t>
  </si>
  <si>
    <t>b=4×Units</t>
    <phoneticPr fontId="5" type="noConversion"/>
  </si>
  <si>
    <t>총 가중치 개수</t>
    <phoneticPr fontId="5" type="noConversion"/>
  </si>
  <si>
    <t>영화 리뷰 분류</t>
    <phoneticPr fontId="5" type="noConversion"/>
  </si>
  <si>
    <t>영화 리뷰</t>
    <phoneticPr fontId="5" type="noConversion"/>
  </si>
  <si>
    <t>영화리뷰1</t>
    <phoneticPr fontId="5" type="noConversion"/>
  </si>
  <si>
    <t>영화리뷰2</t>
  </si>
  <si>
    <t>영화리뷰 25000</t>
    <phoneticPr fontId="5" type="noConversion"/>
  </si>
  <si>
    <t>num_words=5000로 빈도수가 5000개(5000차원)인 단어만 추출한 후 100차원로 차원축소(임베딩층을 이용)</t>
    <phoneticPr fontId="5" type="noConversion"/>
  </si>
  <si>
    <t>Embedding</t>
  </si>
  <si>
    <t>5000*100</t>
    <phoneticPr fontId="5" type="noConversion"/>
  </si>
  <si>
    <t>부정</t>
    <phoneticPr fontId="5" type="noConversion"/>
  </si>
  <si>
    <t>긍정</t>
    <phoneticPr fontId="5" type="noConversion"/>
  </si>
  <si>
    <t>Conv1D</t>
  </si>
  <si>
    <t>필터(커널)</t>
    <phoneticPr fontId="5" type="noConversion"/>
  </si>
  <si>
    <t>개수가</t>
    <phoneticPr fontId="5" type="noConversion"/>
  </si>
  <si>
    <t>DropOut</t>
    <phoneticPr fontId="5" type="noConversion"/>
  </si>
  <si>
    <t>커널 바이어스</t>
    <phoneticPr fontId="5" type="noConversion"/>
  </si>
  <si>
    <t>말뭉치를 가지고 사전(표형태)을 만드니까 사전의 크기라고도 함</t>
    <phoneticPr fontId="5" type="noConversion"/>
  </si>
  <si>
    <t>언어 모델은 말뭉치(텍스트 데이터)를 기반으로 단어 또는 문장의 패턴을 학습하는 모델입니다. 이를 위해 LSTM, 트랜스포머와 같은 신경망 구조를 사용하여 많은 가중치를 학습하고, 이를 역전파(backpropagation) 알고리즘으로 최적화</t>
  </si>
  <si>
    <t>5*64</t>
    <phoneticPr fontId="5" type="noConversion"/>
  </si>
  <si>
    <t>즉 50만개의 임베딩 공간을 학습으로 값을 채워야 함</t>
    <phoneticPr fontId="5" type="noConversion"/>
  </si>
  <si>
    <t>최종 가중치 개수</t>
    <phoneticPr fontId="5" type="noConversion"/>
  </si>
  <si>
    <r>
      <t>MaxPooling1D</t>
    </r>
    <r>
      <rPr>
        <b/>
        <sz val="11"/>
        <color rgb="FFFF0000"/>
        <rFont val="맑은 고딕"/>
        <family val="2"/>
        <scheme val="minor"/>
      </rPr>
      <t xml:space="preserve">에서 </t>
    </r>
    <r>
      <rPr>
        <b/>
        <sz val="10"/>
        <color rgb="FFFF0000"/>
        <rFont val="Arial Unicode MS"/>
        <family val="2"/>
      </rPr>
      <t>pool_size</t>
    </r>
    <r>
      <rPr>
        <b/>
        <sz val="11"/>
        <color rgb="FFFF0000"/>
        <rFont val="맑은 고딕"/>
        <family val="2"/>
        <scheme val="minor"/>
      </rPr>
      <t xml:space="preserve">가 </t>
    </r>
    <r>
      <rPr>
        <b/>
        <sz val="10"/>
        <color rgb="FFFF0000"/>
        <rFont val="Arial Unicode MS"/>
        <family val="2"/>
      </rPr>
      <t>None</t>
    </r>
    <r>
      <rPr>
        <b/>
        <sz val="11"/>
        <color rgb="FFFF0000"/>
        <rFont val="맑은 고딕"/>
        <family val="2"/>
        <scheme val="minor"/>
      </rPr>
      <t xml:space="preserve">이거나 생략된 경우, 기본값은 </t>
    </r>
    <r>
      <rPr>
        <b/>
        <sz val="11"/>
        <color rgb="FFFF0000"/>
        <rFont val="맑은 고딕"/>
        <family val="3"/>
        <charset val="129"/>
        <scheme val="minor"/>
      </rPr>
      <t>2</t>
    </r>
    <r>
      <rPr>
        <b/>
        <sz val="11"/>
        <color rgb="FFFF0000"/>
        <rFont val="맑은 고딕"/>
        <family val="2"/>
        <scheme val="minor"/>
      </rPr>
      <t>입니다</t>
    </r>
  </si>
  <si>
    <t>MaxPooling1D</t>
  </si>
  <si>
    <t>Conv2D</t>
    <phoneticPr fontId="19" type="noConversion"/>
  </si>
  <si>
    <t>28*28*16</t>
    <phoneticPr fontId="5" type="noConversion"/>
  </si>
  <si>
    <t>16 * 9</t>
    <phoneticPr fontId="5" type="noConversion"/>
  </si>
  <si>
    <t>bias 16</t>
    <phoneticPr fontId="5" type="noConversion"/>
  </si>
  <si>
    <t>MaxPooling2D 후</t>
    <phoneticPr fontId="5" type="noConversion"/>
  </si>
  <si>
    <t>없음인 경우 기본값은 pool_size입니다.</t>
  </si>
  <si>
    <t>14*14*16</t>
    <phoneticPr fontId="5" type="noConversion"/>
  </si>
  <si>
    <t>현재 pool_size 2</t>
    <phoneticPr fontId="5" type="noConversion"/>
  </si>
  <si>
    <t>8개</t>
    <phoneticPr fontId="5" type="noConversion"/>
  </si>
  <si>
    <t>8 * 9</t>
    <phoneticPr fontId="5" type="noConversion"/>
  </si>
  <si>
    <t>bias 8</t>
    <phoneticPr fontId="5" type="noConversion"/>
  </si>
  <si>
    <t>커널의 가로*커널의 세로</t>
    <phoneticPr fontId="5" type="noConversion"/>
  </si>
  <si>
    <t>입력 *</t>
    <phoneticPr fontId="5" type="noConversion"/>
  </si>
  <si>
    <t>*출력 필터 수</t>
    <phoneticPr fontId="5" type="noConversion"/>
  </si>
  <si>
    <t>+ 출력 필터 수</t>
    <phoneticPr fontId="5" type="noConversion"/>
  </si>
  <si>
    <t>7*7*8</t>
    <phoneticPr fontId="5" type="noConversion"/>
  </si>
  <si>
    <t xml:space="preserve">    size=(2, 2), data_format=None, interpolation="nearest", **kwargs</t>
  </si>
  <si>
    <t>valid padding 적용 후</t>
    <phoneticPr fontId="5" type="noConversion"/>
  </si>
  <si>
    <r>
      <t>autoencoder.add(Conv2D(</t>
    </r>
    <r>
      <rPr>
        <sz val="11"/>
        <color rgb="FF098658"/>
        <rFont val="Consolas"/>
        <family val="3"/>
      </rPr>
      <t>16</t>
    </r>
    <r>
      <rPr>
        <sz val="11"/>
        <color rgb="FF000000"/>
        <rFont val="Consolas"/>
        <family val="3"/>
      </rPr>
      <t>, kernel_size=</t>
    </r>
    <r>
      <rPr>
        <sz val="11"/>
        <color rgb="FF098658"/>
        <rFont val="Consolas"/>
        <family val="3"/>
      </rPr>
      <t>3</t>
    </r>
    <r>
      <rPr>
        <sz val="11"/>
        <color rgb="FF000000"/>
        <rFont val="Consolas"/>
        <family val="3"/>
      </rPr>
      <t>, activation=</t>
    </r>
    <r>
      <rPr>
        <sz val="11"/>
        <color rgb="FFA31515"/>
        <rFont val="Consolas"/>
        <family val="3"/>
      </rPr>
      <t>'relu'</t>
    </r>
    <r>
      <rPr>
        <sz val="11"/>
        <color rgb="FF000000"/>
        <rFont val="Consolas"/>
        <family val="3"/>
      </rPr>
      <t>))</t>
    </r>
  </si>
  <si>
    <t>keras.layers.UpSampling2D(</t>
    <phoneticPr fontId="5" type="noConversion"/>
  </si>
  <si>
    <t>UpSampling2D</t>
  </si>
  <si>
    <t>UpSampling2D 후</t>
    <phoneticPr fontId="5" type="noConversion"/>
  </si>
  <si>
    <t>28*28*16</t>
    <phoneticPr fontId="5" type="noConversion"/>
  </si>
  <si>
    <t>sigmoid</t>
    <phoneticPr fontId="5" type="noConversion"/>
  </si>
  <si>
    <t>최종 가중치 개수</t>
    <phoneticPr fontId="5" type="noConversion"/>
  </si>
  <si>
    <t>생성자</t>
    <phoneticPr fontId="5" type="noConversion"/>
  </si>
  <si>
    <t>Dense</t>
    <phoneticPr fontId="5" type="noConversion"/>
  </si>
  <si>
    <t>128*7*7</t>
    <phoneticPr fontId="5" type="noConversion"/>
  </si>
  <si>
    <t xml:space="preserve">7*7로 해준 이유는 </t>
    <phoneticPr fontId="5" type="noConversion"/>
  </si>
  <si>
    <t>128은 임의의 노드 수</t>
    <phoneticPr fontId="5" type="noConversion"/>
  </si>
  <si>
    <t xml:space="preserve">후에 업샘플링 2번을 통해 28*28로 만들어 주므로 </t>
    <phoneticPr fontId="5" type="noConversion"/>
  </si>
  <si>
    <t>출력 노드 수</t>
    <phoneticPr fontId="5" type="noConversion"/>
  </si>
  <si>
    <t>임의의 잡음을 넣어야 되므로</t>
    <phoneticPr fontId="5" type="noConversion"/>
  </si>
  <si>
    <t>입력 차원을 임의로 해주어야 함</t>
    <phoneticPr fontId="5" type="noConversion"/>
  </si>
  <si>
    <t>100으로 해줌</t>
    <phoneticPr fontId="5" type="noConversion"/>
  </si>
  <si>
    <t>입력 차원</t>
    <phoneticPr fontId="5" type="noConversion"/>
  </si>
  <si>
    <t>출력 차원</t>
    <phoneticPr fontId="5" type="noConversion"/>
  </si>
  <si>
    <t>가중치 수</t>
    <phoneticPr fontId="5" type="noConversion"/>
  </si>
  <si>
    <t>    axis=-1,</t>
  </si>
  <si>
    <t>    momentum=0.99,</t>
  </si>
  <si>
    <t>    epsilon=0.001,</t>
  </si>
  <si>
    <t>    center=True,</t>
  </si>
  <si>
    <t>    scale=True,</t>
  </si>
  <si>
    <t>    beta_initializer='zeros',</t>
  </si>
  <si>
    <t>    gamma_initializer='ones',</t>
  </si>
  <si>
    <t>    moving_mean_initializer='zeros',</t>
  </si>
  <si>
    <t>    moving_variance_initializer='ones',</t>
  </si>
  <si>
    <t>    beta_regularizer=None,</t>
  </si>
  <si>
    <t>    gamma_regularizer=None,</t>
  </si>
  <si>
    <t>    beta_constraint=None,</t>
  </si>
  <si>
    <t>    gamma_constraint=None,</t>
  </si>
  <si>
    <t>    synchronized=False,</t>
  </si>
  <si>
    <t>    **kwargs</t>
  </si>
  <si>
    <t>매개변수 수는 보통 2개 (스케일과 시프트)로, 출력 크기와 관련이 없습니다.</t>
    <phoneticPr fontId="5" type="noConversion"/>
  </si>
  <si>
    <t>시프트</t>
    <phoneticPr fontId="5" type="noConversion"/>
  </si>
  <si>
    <t>배치묶음 들어오면서 입력 데이터의 분포를 정규화 하는 과정 추가</t>
    <phoneticPr fontId="5" type="noConversion"/>
  </si>
  <si>
    <t>tf.keras.layers.BatchNormalization(</t>
    <phoneticPr fontId="5" type="noConversion"/>
  </si>
  <si>
    <t>BatchNormalization하는 이유</t>
    <phoneticPr fontId="5" type="noConversion"/>
  </si>
  <si>
    <t>깊은 신경망에서 발생할 수 있는 기울기 소실 문제를 줄이는 데 도움이 됩니다. 정규화를 통해 각 레이어의 입력이 더 잘 분포되므로, 기울기가 너무 작아지지 않습니다.</t>
  </si>
  <si>
    <t>Batch Normalization은 약간의 정규화 효과를 제공하여 과적합을 방지하는 데 도움을 줄 수 있습니다.</t>
  </si>
  <si>
    <t>학습 안정성 향상:</t>
  </si>
  <si>
    <t>기울기 소실 문제 완화:</t>
  </si>
  <si>
    <t>과적합 방지:</t>
  </si>
  <si>
    <t>입력 데이터의 분포가 일정하게 유지되면, 가중치 업데이트가 더 안정적이고 빠르게 이루어집니다. 이는 학습 속도를 높이는 데 기여합니다.</t>
    <phoneticPr fontId="5" type="noConversion"/>
  </si>
  <si>
    <t>스케일은 각 채널의 출력을 조정하기 위함</t>
    <phoneticPr fontId="5" type="noConversion"/>
  </si>
  <si>
    <t>128개</t>
    <phoneticPr fontId="5" type="noConversion"/>
  </si>
  <si>
    <t>출력 크기</t>
    <phoneticPr fontId="5" type="noConversion"/>
  </si>
  <si>
    <t>7*7*128</t>
    <phoneticPr fontId="5" type="noConversion"/>
  </si>
  <si>
    <t>reshape을 해준 이유는 컨벌루션층이 받아들일수 있도록</t>
    <phoneticPr fontId="5" type="noConversion"/>
  </si>
  <si>
    <t>14*14*128</t>
    <phoneticPr fontId="5" type="noConversion"/>
  </si>
  <si>
    <r>
      <t>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padding=</t>
    </r>
    <r>
      <rPr>
        <sz val="11"/>
        <color rgb="FFA31515"/>
        <rFont val="Consolas"/>
        <family val="3"/>
      </rPr>
      <t>'same'</t>
    </r>
    <r>
      <rPr>
        <sz val="11"/>
        <color rgb="FF000000"/>
        <rFont val="Consolas"/>
        <family val="3"/>
      </rPr>
      <t>))</t>
    </r>
  </si>
  <si>
    <t>64개</t>
    <phoneticPr fontId="5" type="noConversion"/>
  </si>
  <si>
    <t>커널 5*5가 64개</t>
    <phoneticPr fontId="5" type="noConversion"/>
  </si>
  <si>
    <r>
      <t>Activation(LeakyReLU(</t>
    </r>
    <r>
      <rPr>
        <sz val="11"/>
        <color rgb="FF098658"/>
        <rFont val="Consolas"/>
        <family val="3"/>
      </rPr>
      <t>0.2</t>
    </r>
    <r>
      <rPr>
        <sz val="11"/>
        <color rgb="FF000000"/>
        <rFont val="Consolas"/>
        <family val="3"/>
      </rPr>
      <t>))</t>
    </r>
  </si>
  <si>
    <t>28*28*128</t>
    <phoneticPr fontId="5" type="noConversion"/>
  </si>
  <si>
    <t>1개</t>
    <phoneticPr fontId="5" type="noConversion"/>
  </si>
  <si>
    <t>커널 5*5가 1개</t>
    <phoneticPr fontId="5" type="noConversion"/>
  </si>
  <si>
    <t>LeakyReLU() 함수는 ReLU() 함수에서 x 값이 음수이면 무조건 0이 되어 뉴런들이 일찍 소실되는 단점을 보완하기 위해, 0 이하에서도 작은 값을 갖게 만드는 활성화 함수</t>
  </si>
  <si>
    <t>케라스 함수를 이용해 LeakyReLU(0.2) 형태로 설정하면 0보다 작을 경우 0.2를 곱하라는 의미</t>
  </si>
  <si>
    <t>활성화 함수가 하이퍼볼릭탄젠트이므로</t>
    <phoneticPr fontId="5" type="noConversion"/>
  </si>
  <si>
    <t>데이터 범위를 -1에서 1사이로 맞추어야 함</t>
    <phoneticPr fontId="5" type="noConversion"/>
  </si>
  <si>
    <t>판별자</t>
    <phoneticPr fontId="5" type="noConversion"/>
  </si>
  <si>
    <r>
      <t>np.random.normal(</t>
    </r>
    <r>
      <rPr>
        <sz val="11"/>
        <color rgb="FF098658"/>
        <rFont val="Consolas"/>
        <family val="3"/>
      </rPr>
      <t>0</t>
    </r>
    <r>
      <rPr>
        <sz val="11"/>
        <color rgb="FF000000"/>
        <rFont val="Consolas"/>
        <family val="3"/>
      </rPr>
      <t xml:space="preserve">, </t>
    </r>
    <r>
      <rPr>
        <sz val="11"/>
        <color rgb="FF098658"/>
        <rFont val="Consolas"/>
        <family val="3"/>
      </rPr>
      <t>1</t>
    </r>
    <r>
      <rPr>
        <sz val="11"/>
        <color rgb="FF000000"/>
        <rFont val="Consolas"/>
        <family val="3"/>
      </rPr>
      <t>, (</t>
    </r>
    <r>
      <rPr>
        <sz val="11"/>
        <color rgb="FF098658"/>
        <rFont val="Consolas"/>
        <family val="3"/>
      </rPr>
      <t>32</t>
    </r>
    <r>
      <rPr>
        <sz val="11"/>
        <color rgb="FF000000"/>
        <rFont val="Consolas"/>
        <family val="3"/>
      </rPr>
      <t xml:space="preserve">, </t>
    </r>
    <r>
      <rPr>
        <sz val="11"/>
        <color rgb="FF098658"/>
        <rFont val="Consolas"/>
        <family val="3"/>
      </rPr>
      <t>100</t>
    </r>
    <r>
      <rPr>
        <sz val="11"/>
        <color rgb="FF000000"/>
        <rFont val="Consolas"/>
        <family val="3"/>
      </rPr>
      <t>))</t>
    </r>
  </si>
  <si>
    <t>-0.1555464 , 1.05994763</t>
  </si>
  <si>
    <t>입력</t>
    <phoneticPr fontId="5" type="noConversion"/>
  </si>
  <si>
    <t>28*28*1</t>
    <phoneticPr fontId="5" type="noConversion"/>
  </si>
  <si>
    <t>출력 결과</t>
    <phoneticPr fontId="5" type="noConversion"/>
  </si>
  <si>
    <t>6272*2</t>
    <phoneticPr fontId="5" type="noConversion"/>
  </si>
  <si>
    <t>훈련해야할 가중치</t>
    <phoneticPr fontId="5" type="noConversion"/>
  </si>
  <si>
    <t>discriminator = Sequential()</t>
  </si>
  <si>
    <r>
      <t>discriminator.add(Conv2D(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t>
    </r>
  </si>
  <si>
    <r>
      <t>                  input_shape=(</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 padding=</t>
    </r>
    <r>
      <rPr>
        <sz val="11"/>
        <color rgb="FFA31515"/>
        <rFont val="Consolas"/>
        <family val="3"/>
      </rPr>
      <t>"same"</t>
    </r>
    <r>
      <rPr>
        <sz val="11"/>
        <color rgb="FF000000"/>
        <rFont val="Consolas"/>
        <family val="3"/>
      </rPr>
      <t>))</t>
    </r>
  </si>
  <si>
    <r>
      <t>discriminator.add(Activation(LeakyReLU(</t>
    </r>
    <r>
      <rPr>
        <sz val="11"/>
        <color rgb="FF098658"/>
        <rFont val="Consolas"/>
        <family val="3"/>
      </rPr>
      <t>0.2</t>
    </r>
    <r>
      <rPr>
        <sz val="11"/>
        <color rgb="FF000000"/>
        <rFont val="Consolas"/>
        <family val="3"/>
      </rPr>
      <t>)))</t>
    </r>
  </si>
  <si>
    <r>
      <t>discriminator.add(Dropout(</t>
    </r>
    <r>
      <rPr>
        <sz val="11"/>
        <color rgb="FF098658"/>
        <rFont val="Consolas"/>
        <family val="3"/>
      </rPr>
      <t>0.3</t>
    </r>
    <r>
      <rPr>
        <sz val="11"/>
        <color rgb="FF000000"/>
        <rFont val="Consolas"/>
        <family val="3"/>
      </rPr>
      <t>))</t>
    </r>
  </si>
  <si>
    <r>
      <t>discriminator.add(Conv2D(</t>
    </r>
    <r>
      <rPr>
        <sz val="11"/>
        <color rgb="FF098658"/>
        <rFont val="Consolas"/>
        <family val="3"/>
      </rPr>
      <t>128</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 padding=</t>
    </r>
    <r>
      <rPr>
        <sz val="11"/>
        <color rgb="FFA31515"/>
        <rFont val="Consolas"/>
        <family val="3"/>
      </rPr>
      <t>"same"</t>
    </r>
    <r>
      <rPr>
        <sz val="11"/>
        <color rgb="FF000000"/>
        <rFont val="Consolas"/>
        <family val="3"/>
      </rPr>
      <t>))</t>
    </r>
  </si>
  <si>
    <t>discriminator.add(Flatten())</t>
  </si>
  <si>
    <r>
      <t>discriminator.add(Dense(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</si>
  <si>
    <r>
      <t>discriminator.compile(loss=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</si>
  <si>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t>28*28*1</t>
    <phoneticPr fontId="5" type="noConversion"/>
  </si>
  <si>
    <t>커널(5*5)이 64개</t>
    <phoneticPr fontId="5" type="noConversion"/>
  </si>
  <si>
    <t>스트라이드가 2이므로 14*14</t>
    <phoneticPr fontId="5" type="noConversion"/>
  </si>
  <si>
    <t>출력 결과를 입력으로</t>
    <phoneticPr fontId="5" type="noConversion"/>
  </si>
  <si>
    <t xml:space="preserve"> 출력 </t>
    <phoneticPr fontId="5" type="noConversion"/>
  </si>
  <si>
    <t>14*14*64</t>
    <phoneticPr fontId="5" type="noConversion"/>
  </si>
  <si>
    <t>128개</t>
    <phoneticPr fontId="5" type="noConversion"/>
  </si>
  <si>
    <t>커널(5*5)이 128개</t>
    <phoneticPr fontId="5" type="noConversion"/>
  </si>
  <si>
    <t>오차</t>
    <phoneticPr fontId="5" type="noConversion"/>
  </si>
  <si>
    <t>discriminator.trainable = False</t>
  </si>
  <si>
    <t>GAN 모델</t>
    <phoneticPr fontId="5" type="noConversion"/>
  </si>
  <si>
    <t># 생성자와 판별자 모델을 연결시키는 gan 모델을 만듭니다.</t>
  </si>
  <si>
    <t>dis_output = discriminator(generator(ginput))</t>
  </si>
  <si>
    <t>gan = Model(ginput, dis_output)</t>
  </si>
  <si>
    <r>
      <t>gan.compile(loss=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</si>
  <si>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t>gan.summary()</t>
  </si>
  <si>
    <r>
      <t>ginput = Input(shape=(</t>
    </r>
    <r>
      <rPr>
        <sz val="11"/>
        <color rgb="FF098658"/>
        <rFont val="Consolas"/>
        <family val="3"/>
      </rPr>
      <t>100</t>
    </r>
    <r>
      <rPr>
        <sz val="11"/>
        <color rgb="FF000000"/>
        <rFont val="Consolas"/>
        <family val="3"/>
      </rPr>
      <t>,))</t>
    </r>
    <phoneticPr fontId="5" type="noConversion"/>
  </si>
  <si>
    <t>tf.keras.Input(</t>
  </si>
  <si>
    <t>    shape=None,</t>
  </si>
  <si>
    <t>    batch_size=None,</t>
  </si>
  <si>
    <t>    dtype=None,</t>
  </si>
  <si>
    <t>    sparse=None,</t>
  </si>
  <si>
    <t>    batch_shape=None,</t>
  </si>
  <si>
    <t>    name=None,</t>
  </si>
  <si>
    <t>    tensor=None</t>
  </si>
  <si>
    <t>입력</t>
    <phoneticPr fontId="5" type="noConversion"/>
  </si>
  <si>
    <t>학습안함</t>
    <phoneticPr fontId="5" type="noConversion"/>
  </si>
  <si>
    <t>GAN 모델(생성자(이 학습해야할  매개변수 수</t>
    <phoneticPr fontId="5" type="noConversion"/>
  </si>
  <si>
    <r>
      <t>def</t>
    </r>
    <r>
      <rPr>
        <sz val="11"/>
        <color rgb="FF000000"/>
        <rFont val="Consolas"/>
        <family val="3"/>
      </rPr>
      <t xml:space="preserve"> gan_train(epoch, batch_size, saving_interval):</t>
    </r>
  </si>
  <si>
    <t>    (X_train, _), (_, _) = mnist.load_data()</t>
  </si>
  <si>
    <r>
      <t>    X_train = X_train.reshape(X_train.shape[</t>
    </r>
    <r>
      <rPr>
        <sz val="11"/>
        <color rgb="FF098658"/>
        <rFont val="Consolas"/>
        <family val="3"/>
      </rPr>
      <t>0</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).astype(</t>
    </r>
    <r>
      <rPr>
        <sz val="11"/>
        <color rgb="FFA31515"/>
        <rFont val="Consolas"/>
        <family val="3"/>
      </rPr>
      <t>'float32'</t>
    </r>
    <r>
      <rPr>
        <sz val="11"/>
        <color rgb="FF000000"/>
        <rFont val="Consolas"/>
        <family val="3"/>
      </rPr>
      <t>)</t>
    </r>
  </si>
  <si>
    <r>
      <t xml:space="preserve">    X_train = (X_train - </t>
    </r>
    <r>
      <rPr>
        <sz val="11"/>
        <color rgb="FF098658"/>
        <rFont val="Consolas"/>
        <family val="3"/>
      </rPr>
      <t>127.5</t>
    </r>
    <r>
      <rPr>
        <sz val="11"/>
        <color rgb="FF000000"/>
        <rFont val="Consolas"/>
        <family val="3"/>
      </rPr>
      <t xml:space="preserve">) / </t>
    </r>
    <r>
      <rPr>
        <sz val="11"/>
        <color rgb="FF098658"/>
        <rFont val="Consolas"/>
        <family val="3"/>
      </rPr>
      <t>127.5</t>
    </r>
  </si>
  <si>
    <r>
      <t xml:space="preserve">    true = np.ones((batch_size, </t>
    </r>
    <r>
      <rPr>
        <sz val="11"/>
        <color rgb="FF098658"/>
        <rFont val="Consolas"/>
        <family val="3"/>
      </rPr>
      <t>1</t>
    </r>
    <r>
      <rPr>
        <sz val="11"/>
        <color rgb="FF000000"/>
        <rFont val="Consolas"/>
        <family val="3"/>
      </rPr>
      <t>))</t>
    </r>
  </si>
  <si>
    <r>
      <t xml:space="preserve">    fake = np.zeros((batch_size, </t>
    </r>
    <r>
      <rPr>
        <sz val="11"/>
        <color rgb="FF098658"/>
        <rFont val="Consolas"/>
        <family val="3"/>
      </rPr>
      <t>1</t>
    </r>
    <r>
      <rPr>
        <sz val="11"/>
        <color rgb="FF000000"/>
        <rFont val="Consolas"/>
        <family val="3"/>
      </rPr>
      <t>))</t>
    </r>
  </si>
  <si>
    <r>
      <t xml:space="preserve">    </t>
    </r>
    <r>
      <rPr>
        <sz val="11"/>
        <color rgb="FF0000FF"/>
        <rFont val="Consolas"/>
        <family val="3"/>
      </rPr>
      <t>for</t>
    </r>
    <r>
      <rPr>
        <sz val="11"/>
        <color rgb="FF000000"/>
        <rFont val="Consolas"/>
        <family val="3"/>
      </rPr>
      <t xml:space="preserve"> i </t>
    </r>
    <r>
      <rPr>
        <sz val="11"/>
        <color rgb="FF0000FF"/>
        <rFont val="Consolas"/>
        <family val="3"/>
      </rPr>
      <t>in</t>
    </r>
    <r>
      <rPr>
        <sz val="11"/>
        <color rgb="FF000000"/>
        <rFont val="Consolas"/>
        <family val="3"/>
      </rPr>
      <t xml:space="preserve"> range(epoch):</t>
    </r>
  </si>
  <si>
    <r>
      <t>        idx = np.random.randint(</t>
    </r>
    <r>
      <rPr>
        <sz val="11"/>
        <color rgb="FF098658"/>
        <rFont val="Consolas"/>
        <family val="3"/>
      </rPr>
      <t>0</t>
    </r>
    <r>
      <rPr>
        <sz val="11"/>
        <color rgb="FF000000"/>
        <rFont val="Consolas"/>
        <family val="3"/>
      </rPr>
      <t>, X_train.shape[</t>
    </r>
    <r>
      <rPr>
        <sz val="11"/>
        <color rgb="FF098658"/>
        <rFont val="Consolas"/>
        <family val="3"/>
      </rPr>
      <t>0</t>
    </r>
    <r>
      <rPr>
        <sz val="11"/>
        <color rgb="FF000000"/>
        <rFont val="Consolas"/>
        <family val="3"/>
      </rPr>
      <t>], batch_size)</t>
    </r>
  </si>
  <si>
    <t>        imgs = X_train[idx]</t>
  </si>
  <si>
    <t>        d_loss_real = discriminator.train_on_batch(imgs, true)</t>
  </si>
  <si>
    <r>
      <t>        noise = np.random.normal(</t>
    </r>
    <r>
      <rPr>
        <sz val="11"/>
        <color rgb="FF098658"/>
        <rFont val="Consolas"/>
        <family val="3"/>
      </rPr>
      <t>0</t>
    </r>
    <r>
      <rPr>
        <sz val="11"/>
        <color rgb="FF000000"/>
        <rFont val="Consolas"/>
        <family val="3"/>
      </rPr>
      <t xml:space="preserve">, </t>
    </r>
    <r>
      <rPr>
        <sz val="11"/>
        <color rgb="FF098658"/>
        <rFont val="Consolas"/>
        <family val="3"/>
      </rPr>
      <t>1</t>
    </r>
    <r>
      <rPr>
        <sz val="11"/>
        <color rgb="FF000000"/>
        <rFont val="Consolas"/>
        <family val="3"/>
      </rPr>
      <t xml:space="preserve">, (batch_size, </t>
    </r>
    <r>
      <rPr>
        <sz val="11"/>
        <color rgb="FF098658"/>
        <rFont val="Consolas"/>
        <family val="3"/>
      </rPr>
      <t>100</t>
    </r>
    <r>
      <rPr>
        <sz val="11"/>
        <color rgb="FF000000"/>
        <rFont val="Consolas"/>
        <family val="3"/>
      </rPr>
      <t>))</t>
    </r>
  </si>
  <si>
    <t>        gen_imgs = generator.predict(noise)</t>
  </si>
  <si>
    <t>        d_loss_fake = discriminator.train_on_batch(gen_imgs, fake)</t>
  </si>
  <si>
    <r>
      <t xml:space="preserve">        </t>
    </r>
    <r>
      <rPr>
        <sz val="11"/>
        <color rgb="FF008000"/>
        <rFont val="Consolas"/>
        <family val="3"/>
      </rPr>
      <t># 판별자와 생성자의 오차를 계산합니다.</t>
    </r>
  </si>
  <si>
    <r>
      <t xml:space="preserve">        d_loss = </t>
    </r>
    <r>
      <rPr>
        <sz val="11"/>
        <color rgb="FF098658"/>
        <rFont val="Consolas"/>
        <family val="3"/>
      </rPr>
      <t>0.5</t>
    </r>
    <r>
      <rPr>
        <sz val="11"/>
        <color rgb="FF000000"/>
        <rFont val="Consolas"/>
        <family val="3"/>
      </rPr>
      <t xml:space="preserve"> * np.add(d_loss_real, d_loss_fake)</t>
    </r>
  </si>
  <si>
    <t>        g_loss = gan.train_on_batch(noise, true)</t>
  </si>
  <si>
    <t>        print(d_loss)</t>
  </si>
  <si>
    <r>
      <t>        print(</t>
    </r>
    <r>
      <rPr>
        <sz val="11"/>
        <color rgb="FFA31515"/>
        <rFont val="Consolas"/>
        <family val="3"/>
      </rPr>
      <t>"###############"</t>
    </r>
    <r>
      <rPr>
        <sz val="11"/>
        <color rgb="FF000000"/>
        <rFont val="Consolas"/>
        <family val="3"/>
      </rPr>
      <t>)</t>
    </r>
  </si>
  <si>
    <t>        print(g_loss)</t>
  </si>
  <si>
    <t>GAN 학습</t>
    <phoneticPr fontId="5" type="noConversion"/>
  </si>
  <si>
    <t># 학습셋의 변형을 설정하는 부분입니다.</t>
  </si>
  <si>
    <r>
      <t>                                   </t>
    </r>
    <r>
      <rPr>
        <sz val="11"/>
        <color rgb="FF008000"/>
        <rFont val="Consolas"/>
        <family val="3"/>
      </rPr>
      <t># 수평 대칭 이미지를 50% 확률로 만들어 추가합니다.</t>
    </r>
  </si>
  <si>
    <r>
      <t>                                   horizontal_flip=</t>
    </r>
    <r>
      <rPr>
        <sz val="11"/>
        <color rgb="FF0000FF"/>
        <rFont val="Consolas"/>
        <family val="3"/>
      </rPr>
      <t>True</t>
    </r>
    <r>
      <rPr>
        <sz val="11"/>
        <color rgb="FF000000"/>
        <rFont val="Consolas"/>
        <family val="3"/>
      </rPr>
      <t>,</t>
    </r>
  </si>
  <si>
    <r>
      <t>                                   </t>
    </r>
    <r>
      <rPr>
        <sz val="11"/>
        <color rgb="FF008000"/>
        <rFont val="Consolas"/>
        <family val="3"/>
      </rPr>
      <t># 전체 크기의 15% 범위에서 좌우로 이동합니다.</t>
    </r>
  </si>
  <si>
    <r>
      <t>                                   width_shift_range=</t>
    </r>
    <r>
      <rPr>
        <sz val="11"/>
        <color rgb="FF098658"/>
        <rFont val="Consolas"/>
        <family val="3"/>
      </rPr>
      <t>0.1</t>
    </r>
    <r>
      <rPr>
        <sz val="11"/>
        <color rgb="FF000000"/>
        <rFont val="Consolas"/>
        <family val="3"/>
      </rPr>
      <t>,</t>
    </r>
  </si>
  <si>
    <r>
      <t>                                   </t>
    </r>
    <r>
      <rPr>
        <sz val="11"/>
        <color rgb="FF008000"/>
        <rFont val="Consolas"/>
        <family val="3"/>
      </rPr>
      <t># 마찬가지로 위, 아래로 이동합니다.</t>
    </r>
  </si>
  <si>
    <r>
      <t>                                   height_shift_range=</t>
    </r>
    <r>
      <rPr>
        <sz val="11"/>
        <color rgb="FF098658"/>
        <rFont val="Consolas"/>
        <family val="3"/>
      </rPr>
      <t>0.1</t>
    </r>
    <r>
      <rPr>
        <sz val="11"/>
        <color rgb="FF000000"/>
        <rFont val="Consolas"/>
        <family val="3"/>
      </rPr>
      <t>,</t>
    </r>
  </si>
  <si>
    <r>
      <t>                                   </t>
    </r>
    <r>
      <rPr>
        <sz val="11"/>
        <color rgb="FF008000"/>
        <rFont val="Consolas"/>
        <family val="3"/>
      </rPr>
      <t># rotation_range=5,        # 정해진 각도만큼 회전시킵니다.</t>
    </r>
  </si>
  <si>
    <r>
      <t>                                   </t>
    </r>
    <r>
      <rPr>
        <sz val="11"/>
        <color rgb="FF008000"/>
        <rFont val="Consolas"/>
        <family val="3"/>
      </rPr>
      <t># shear_range=0.7,         # 좌표 하나를 고정시키고 나머지를 이동시킵니다.</t>
    </r>
  </si>
  <si>
    <r>
      <t>                                   </t>
    </r>
    <r>
      <rPr>
        <sz val="11"/>
        <color rgb="FF008000"/>
        <rFont val="Consolas"/>
        <family val="3"/>
      </rPr>
      <t># zoom_range=1.2,          # 확대 또는 축소시킵니다.</t>
    </r>
  </si>
  <si>
    <r>
      <t>                                   </t>
    </r>
    <r>
      <rPr>
        <sz val="11"/>
        <color rgb="FF008000"/>
        <rFont val="Consolas"/>
        <family val="3"/>
      </rPr>
      <t># vertical_flip=True,      # 수직 대칭 이미지를 만듭니다.</t>
    </r>
  </si>
  <si>
    <r>
      <t>                                   </t>
    </r>
    <r>
      <rPr>
        <sz val="11"/>
        <color rgb="FF008000"/>
        <rFont val="Consolas"/>
        <family val="3"/>
      </rPr>
      <t># fill_mode='nearest'      # 빈 공간을 채우는 방법입니다. nearest 옵션은 가장 비슷한 색으로 채우게 됩니다.</t>
    </r>
  </si>
  <si>
    <t>                                   )</t>
  </si>
  <si>
    <r>
      <t>train_datagen = ImageDataGenerator(rescale=</t>
    </r>
    <r>
      <rPr>
        <sz val="11"/>
        <color rgb="FF098658"/>
        <rFont val="Consolas"/>
        <family val="3"/>
      </rPr>
      <t>1</t>
    </r>
    <r>
      <rPr>
        <sz val="11"/>
        <color rgb="FF000000"/>
        <rFont val="Consolas"/>
        <family val="3"/>
      </rPr>
      <t>./</t>
    </r>
    <r>
      <rPr>
        <sz val="11"/>
        <color rgb="FF098658"/>
        <rFont val="Consolas"/>
        <family val="3"/>
      </rPr>
      <t>255</t>
    </r>
    <r>
      <rPr>
        <sz val="11"/>
        <color rgb="FF000000"/>
        <rFont val="Consolas"/>
        <family val="3"/>
      </rPr>
      <t>,          </t>
    </r>
    <r>
      <rPr>
        <sz val="11"/>
        <color rgb="FF008000"/>
        <rFont val="Consolas"/>
        <family val="3"/>
      </rPr>
      <t xml:space="preserve"># </t>
    </r>
    <r>
      <rPr>
        <sz val="11"/>
        <color rgb="FF008000"/>
        <rFont val="돋움"/>
        <family val="3"/>
        <charset val="129"/>
      </rPr>
      <t>주어진</t>
    </r>
    <r>
      <rPr>
        <sz val="11"/>
        <color rgb="FF008000"/>
        <rFont val="Consolas"/>
        <family val="3"/>
      </rPr>
      <t xml:space="preserve"> </t>
    </r>
    <r>
      <rPr>
        <sz val="11"/>
        <color rgb="FF008000"/>
        <rFont val="돋움"/>
        <family val="3"/>
        <charset val="129"/>
      </rPr>
      <t>이미지의</t>
    </r>
    <r>
      <rPr>
        <sz val="11"/>
        <color rgb="FF008000"/>
        <rFont val="Consolas"/>
        <family val="3"/>
      </rPr>
      <t xml:space="preserve"> </t>
    </r>
    <r>
      <rPr>
        <sz val="11"/>
        <color rgb="FF008000"/>
        <rFont val="돋움"/>
        <family val="3"/>
        <charset val="129"/>
      </rPr>
      <t>크기를</t>
    </r>
    <r>
      <rPr>
        <sz val="11"/>
        <color rgb="FF008000"/>
        <rFont val="Consolas"/>
        <family val="3"/>
      </rPr>
      <t xml:space="preserve"> </t>
    </r>
    <r>
      <rPr>
        <sz val="11"/>
        <color rgb="FF008000"/>
        <rFont val="돋움"/>
        <family val="3"/>
        <charset val="129"/>
      </rPr>
      <t>설정합니다</t>
    </r>
    <r>
      <rPr>
        <sz val="11"/>
        <color rgb="FF008000"/>
        <rFont val="Consolas"/>
        <family val="3"/>
      </rPr>
      <t>.</t>
    </r>
    <phoneticPr fontId="5" type="noConversion"/>
  </si>
  <si>
    <t>ImageDataGenerator</t>
  </si>
  <si>
    <t>이미지 데이터셋의 다양성을 높이기 위해 사용됩니다. 하지만 이 도구는 실제로 데이터의 갯수를 늘리지 않습니다. 의 일반화 성능을 향상시킵니다.</t>
    <phoneticPr fontId="5" type="noConversion"/>
  </si>
  <si>
    <t>대신, 훈련 중에 데이터를 실시간으로 변형하여 다양한 변형 이미지를 모델에 제공함으로써 과적합(overfitting)을 방지하고 모델</t>
  </si>
  <si>
    <t>예를 들어, 회전, 이동, 확대, 축소, 좌우 반전, 밝기 조절 등의 변형을 적용해 훈련 데이터의 변형된 버전을 생성합니다.</t>
  </si>
  <si>
    <t>하지만 이 변형은 훈련 중에만 이루어지며, 변형된 이미지를 저장하거나 데이터셋의 크기를 물리적으로 늘리지는 않습니다.</t>
  </si>
  <si>
    <r>
      <t>Ø</t>
    </r>
    <r>
      <rPr>
        <b/>
        <sz val="18"/>
        <color rgb="FF504B4B"/>
        <rFont val="KoPub돋움체_Pro Bold"/>
        <family val="3"/>
        <charset val="129"/>
      </rPr>
      <t>레이블링 응용</t>
    </r>
  </si>
  <si>
    <t>stats</t>
    <phoneticPr fontId="5" type="noConversion"/>
  </si>
  <si>
    <t>0이 위치하고 있는 전체 사이즈</t>
    <phoneticPr fontId="5" type="noConversion"/>
  </si>
  <si>
    <t>개수</t>
    <phoneticPr fontId="5" type="noConversion"/>
  </si>
  <si>
    <t>bounding box</t>
    <phoneticPr fontId="5" type="noConversion"/>
  </si>
  <si>
    <t>0의 바운딩 박스 시작 인덱스(x,y)</t>
    <phoneticPr fontId="5" type="noConversion"/>
  </si>
  <si>
    <t>1의 바운딩 박스 시작 인덱스(x,y)</t>
  </si>
  <si>
    <t>2의 바운딩 박스 시작 인덱스(x,y)</t>
  </si>
  <si>
    <t>3의 바운딩 박스 시작 인덱스(x,y)</t>
  </si>
  <si>
    <t xml:space="preserve"> centroids</t>
    <phoneticPr fontId="5" type="noConversion"/>
  </si>
  <si>
    <t>x 좌표인덱스</t>
    <phoneticPr fontId="5" type="noConversion"/>
  </si>
  <si>
    <t>y 좌표인덱스</t>
    <phoneticPr fontId="5" type="noConversion"/>
  </si>
  <si>
    <t>1번 객체</t>
    <phoneticPr fontId="5" type="noConversion"/>
  </si>
  <si>
    <t>0(배경)</t>
    <phoneticPr fontId="5" type="noConversion"/>
  </si>
  <si>
    <t>2번 객체</t>
  </si>
  <si>
    <t>3번 객체</t>
  </si>
  <si>
    <t>data</t>
    <phoneticPr fontId="5" type="noConversion"/>
  </si>
  <si>
    <t>최소단위</t>
    <phoneticPr fontId="5" type="noConversion"/>
  </si>
  <si>
    <t>저장단위</t>
    <phoneticPr fontId="5" type="noConversion"/>
  </si>
  <si>
    <t>◎</t>
  </si>
  <si>
    <t>bit</t>
    <phoneticPr fontId="5" type="noConversion"/>
  </si>
  <si>
    <t>○</t>
  </si>
  <si>
    <t>●</t>
  </si>
  <si>
    <t>byte</t>
    <phoneticPr fontId="5" type="noConversion"/>
  </si>
  <si>
    <t>이진수</t>
  </si>
  <si>
    <t>이진수</t>
    <phoneticPr fontId="5" type="noConversion"/>
  </si>
  <si>
    <t>8진수</t>
    <phoneticPr fontId="5" type="noConversion"/>
  </si>
  <si>
    <t>16진수</t>
    <phoneticPr fontId="5" type="noConversion"/>
  </si>
  <si>
    <t>십진수</t>
  </si>
  <si>
    <t>십진수</t>
    <phoneticPr fontId="5" type="noConversion"/>
  </si>
  <si>
    <t>hexadecimal</t>
    <phoneticPr fontId="5" type="noConversion"/>
  </si>
  <si>
    <t>octal</t>
    <phoneticPr fontId="5" type="noConversion"/>
  </si>
  <si>
    <t>binary</t>
    <phoneticPr fontId="5" type="noConversion"/>
  </si>
  <si>
    <t>decimal</t>
    <phoneticPr fontId="5" type="noConversion"/>
  </si>
  <si>
    <t>A</t>
    <phoneticPr fontId="5" type="noConversion"/>
  </si>
  <si>
    <t>B</t>
    <phoneticPr fontId="5" type="noConversion"/>
  </si>
  <si>
    <t>D</t>
    <phoneticPr fontId="5" type="noConversion"/>
  </si>
  <si>
    <t>E</t>
    <phoneticPr fontId="5" type="noConversion"/>
  </si>
  <si>
    <t>F</t>
    <phoneticPr fontId="5" type="noConversion"/>
  </si>
  <si>
    <t>8진수</t>
    <phoneticPr fontId="5" type="noConversion"/>
  </si>
  <si>
    <t>1KB</t>
    <phoneticPr fontId="5" type="noConversion"/>
  </si>
  <si>
    <t>MB</t>
    <phoneticPr fontId="5" type="noConversion"/>
  </si>
  <si>
    <t>GB</t>
    <phoneticPr fontId="5" type="noConversion"/>
  </si>
  <si>
    <t>TB</t>
    <phoneticPr fontId="5" type="noConversion"/>
  </si>
  <si>
    <t>PB</t>
    <phoneticPr fontId="5" type="noConversion"/>
  </si>
  <si>
    <t>EB</t>
    <phoneticPr fontId="5" type="noConversion"/>
  </si>
  <si>
    <t>ZB</t>
    <phoneticPr fontId="5" type="noConversion"/>
  </si>
  <si>
    <t>YB</t>
    <phoneticPr fontId="5" type="noConversion"/>
  </si>
  <si>
    <t>TPEZY</t>
    <phoneticPr fontId="5" type="noConversion"/>
  </si>
  <si>
    <t>자료형</t>
    <phoneticPr fontId="5" type="noConversion"/>
  </si>
  <si>
    <t>자료구조</t>
    <phoneticPr fontId="5" type="noConversion"/>
  </si>
  <si>
    <t>알고리즘</t>
    <phoneticPr fontId="5" type="noConversion"/>
  </si>
  <si>
    <t>type</t>
    <phoneticPr fontId="5" type="noConversion"/>
  </si>
  <si>
    <t>틀</t>
    <phoneticPr fontId="5" type="noConversion"/>
  </si>
  <si>
    <t>class</t>
    <phoneticPr fontId="5" type="noConversion"/>
  </si>
  <si>
    <t>숫자(number)</t>
    <phoneticPr fontId="5" type="noConversion"/>
  </si>
  <si>
    <t>int</t>
    <phoneticPr fontId="5" type="noConversion"/>
  </si>
  <si>
    <t>str</t>
    <phoneticPr fontId="5" type="noConversion"/>
  </si>
  <si>
    <t>string</t>
    <phoneticPr fontId="5" type="noConversion"/>
  </si>
  <si>
    <t>float</t>
    <phoneticPr fontId="5" type="noConversion"/>
  </si>
  <si>
    <t>부동소수점</t>
    <phoneticPr fontId="5" type="noConversion"/>
  </si>
  <si>
    <t>문자, 문자열</t>
    <phoneticPr fontId="5" type="noConversion"/>
  </si>
  <si>
    <t>고정</t>
    <phoneticPr fontId="5" type="noConversion"/>
  </si>
  <si>
    <t>3칸을 고정시키고 동일한 타입(형)값을 넣다.</t>
    <phoneticPr fontId="5" type="noConversion"/>
  </si>
  <si>
    <t>배열</t>
    <phoneticPr fontId="5" type="noConversion"/>
  </si>
  <si>
    <t>numpy - array</t>
    <phoneticPr fontId="5" type="noConversion"/>
  </si>
  <si>
    <t>리스트</t>
    <phoneticPr fontId="5" type="noConversion"/>
  </si>
  <si>
    <t>여러 데이터 타입을 늘려가면서 사용</t>
    <phoneticPr fontId="5" type="noConversion"/>
  </si>
  <si>
    <t>순서</t>
    <phoneticPr fontId="5" type="noConversion"/>
  </si>
  <si>
    <t>문제</t>
    <phoneticPr fontId="5" type="noConversion"/>
  </si>
  <si>
    <t>해결가능</t>
    <phoneticPr fontId="5" type="noConversion"/>
  </si>
  <si>
    <t>정렬</t>
    <phoneticPr fontId="5" type="noConversion"/>
  </si>
  <si>
    <t>검색</t>
    <phoneticPr fontId="5" type="noConversion"/>
  </si>
  <si>
    <t>hello</t>
    <phoneticPr fontId="5" type="noConversion"/>
  </si>
  <si>
    <t>"" ""</t>
    <phoneticPr fontId="5" type="noConversion"/>
  </si>
  <si>
    <t>' '</t>
    <phoneticPr fontId="5" type="noConversion"/>
  </si>
  <si>
    <t>print("hi")</t>
    <phoneticPr fontId="5" type="noConversion"/>
  </si>
  <si>
    <t>콘솔(입출력장치)</t>
    <phoneticPr fontId="5" type="noConversion"/>
  </si>
  <si>
    <t>표준</t>
    <phoneticPr fontId="5" type="noConversion"/>
  </si>
  <si>
    <t>출력</t>
    <phoneticPr fontId="5" type="noConversion"/>
  </si>
  <si>
    <t>모니터</t>
    <phoneticPr fontId="5" type="noConversion"/>
  </si>
  <si>
    <t>키보드</t>
    <phoneticPr fontId="5" type="noConversion"/>
  </si>
  <si>
    <t>해석</t>
    <phoneticPr fontId="5" type="noConversion"/>
  </si>
  <si>
    <t>한줄 해석(인터프리터)</t>
    <phoneticPr fontId="5" type="noConversion"/>
  </si>
  <si>
    <t>번역(컴파일러)</t>
    <phoneticPr fontId="5" type="noConversion"/>
  </si>
  <si>
    <t>javac.exe</t>
    <phoneticPr fontId="5" type="noConversion"/>
  </si>
  <si>
    <t>python.exe</t>
    <phoneticPr fontId="5" type="noConversion"/>
  </si>
  <si>
    <t>PATH</t>
    <phoneticPr fontId="5" type="noConversion"/>
  </si>
  <si>
    <t>시스템 환경 변수</t>
    <phoneticPr fontId="5" type="noConversion"/>
  </si>
  <si>
    <t>실행을 어디서 해도 다 되도록 경로를 미리 설정해놈</t>
    <phoneticPr fontId="5" type="noConversion"/>
  </si>
  <si>
    <t>conda create 이름</t>
    <phoneticPr fontId="5" type="noConversion"/>
  </si>
  <si>
    <t xml:space="preserve">기본환경 </t>
    <phoneticPr fontId="5" type="noConversion"/>
  </si>
  <si>
    <t>base</t>
    <phoneticPr fontId="5" type="noConversion"/>
  </si>
  <si>
    <t>프로젝트별로 라이브러리 버전 충돌을 피하기 위해</t>
    <phoneticPr fontId="5" type="noConversion"/>
  </si>
  <si>
    <t>가상환경</t>
    <phoneticPr fontId="5" type="noConversion"/>
  </si>
  <si>
    <t>함수</t>
    <phoneticPr fontId="5" type="noConversion"/>
  </si>
  <si>
    <t>괄호 안에 들어가는 형식 매개변수(parameter)-변수형태로</t>
    <phoneticPr fontId="5" type="noConversion"/>
  </si>
  <si>
    <t>코딩에서 중요한 기본 개념</t>
    <phoneticPr fontId="5" type="noConversion"/>
  </si>
  <si>
    <t>System</t>
    <phoneticPr fontId="5" type="noConversion"/>
  </si>
  <si>
    <t>User</t>
    <phoneticPr fontId="5" type="noConversion"/>
  </si>
  <si>
    <t>패키지(폴더), 모듈(.py)</t>
    <phoneticPr fontId="5" type="noConversion"/>
  </si>
  <si>
    <t>제어문(if, for, while)</t>
    <phoneticPr fontId="5" type="noConversion"/>
  </si>
  <si>
    <t xml:space="preserve">= </t>
    <phoneticPr fontId="5" type="noConversion"/>
  </si>
  <si>
    <t>대입연산자</t>
    <phoneticPr fontId="5" type="noConversion"/>
  </si>
  <si>
    <t>주소 140709320342072</t>
    <phoneticPr fontId="5" type="noConversion"/>
  </si>
  <si>
    <t>num</t>
    <phoneticPr fontId="5" type="noConversion"/>
  </si>
  <si>
    <t>num1</t>
    <phoneticPr fontId="5" type="noConversion"/>
  </si>
  <si>
    <t>140709320342072</t>
    <phoneticPr fontId="5" type="noConversion"/>
  </si>
  <si>
    <t>특수문자X</t>
    <phoneticPr fontId="5" type="noConversion"/>
  </si>
  <si>
    <t>숫자시작X</t>
    <phoneticPr fontId="5" type="noConversion"/>
  </si>
  <si>
    <t>공백</t>
    <phoneticPr fontId="5" type="noConversion"/>
  </si>
  <si>
    <t>예약어(키워드)</t>
    <phoneticPr fontId="5" type="noConversion"/>
  </si>
  <si>
    <t>특</t>
    <phoneticPr fontId="5" type="noConversion"/>
  </si>
  <si>
    <t>수</t>
    <phoneticPr fontId="5" type="noConversion"/>
  </si>
  <si>
    <t>공</t>
    <phoneticPr fontId="5" type="noConversion"/>
  </si>
  <si>
    <t>예</t>
    <phoneticPr fontId="5" type="noConversion"/>
  </si>
  <si>
    <t>영어( )</t>
    <phoneticPr fontId="5" type="noConversion"/>
  </si>
  <si>
    <t>파이썬 자료구조</t>
    <phoneticPr fontId="5" type="noConversion"/>
  </si>
  <si>
    <t>대괄호</t>
    <phoneticPr fontId="5" type="noConversion"/>
  </si>
  <si>
    <t>중괄호</t>
    <phoneticPr fontId="5" type="noConversion"/>
  </si>
  <si>
    <t>소괄호</t>
    <phoneticPr fontId="5" type="noConversion"/>
  </si>
  <si>
    <t>{키:밸류}</t>
    <phoneticPr fontId="5" type="noConversion"/>
  </si>
  <si>
    <t>키는 데이터 타입이 변경되면 안됨(immutable)</t>
    <phoneticPr fontId="5" type="noConversion"/>
  </si>
  <si>
    <t>mutable</t>
    <phoneticPr fontId="5" type="noConversion"/>
  </si>
  <si>
    <t>{ } 딕셔너리(dict)</t>
    <phoneticPr fontId="5" type="noConversion"/>
  </si>
  <si>
    <t>반복문</t>
    <phoneticPr fontId="5" type="noConversion"/>
  </si>
  <si>
    <t>[ ] 리스트(list)는 값을 바꿀 수 있음</t>
    <phoneticPr fontId="5" type="noConversion"/>
  </si>
  <si>
    <t>( )  튜플(tuple)은 값을 바꿀 수 없음</t>
    <phoneticPr fontId="5" type="noConversion"/>
  </si>
  <si>
    <t>그래서 키로 리스트 사용 안됨</t>
    <phoneticPr fontId="5" type="noConversion"/>
  </si>
  <si>
    <t>실제값이 들어가면 인수(arguments, args)라고 주로 부름</t>
    <phoneticPr fontId="5" type="noConversion"/>
  </si>
  <si>
    <t>프로세스</t>
    <phoneticPr fontId="5" type="noConversion"/>
  </si>
  <si>
    <t>thread</t>
    <phoneticPr fontId="5" type="noConversion"/>
  </si>
  <si>
    <t xml:space="preserve">현재 실행 중인 프로그램 </t>
    <phoneticPr fontId="5" type="noConversion"/>
  </si>
  <si>
    <t>exe</t>
    <phoneticPr fontId="5" type="noConversion"/>
  </si>
  <si>
    <t>제어문</t>
    <phoneticPr fontId="5" type="noConversion"/>
  </si>
  <si>
    <t>조건</t>
    <phoneticPr fontId="5" type="noConversion"/>
  </si>
  <si>
    <t>if</t>
    <phoneticPr fontId="5" type="noConversion"/>
  </si>
  <si>
    <t>for</t>
    <phoneticPr fontId="5" type="noConversion"/>
  </si>
  <si>
    <t>while</t>
    <phoneticPr fontId="5" type="noConversion"/>
  </si>
  <si>
    <t>인덱스</t>
    <phoneticPr fontId="5" type="noConversion"/>
  </si>
  <si>
    <t>zero base</t>
    <phoneticPr fontId="5" type="noConversion"/>
  </si>
  <si>
    <t>range(5)</t>
    <phoneticPr fontId="5" type="noConversion"/>
  </si>
  <si>
    <t>0,1,2,3,4</t>
    <phoneticPr fontId="5" type="noConversion"/>
  </si>
  <si>
    <t>iterable(반복할 수 있는)</t>
    <phoneticPr fontId="5" type="noConversion"/>
  </si>
  <si>
    <t>문자열</t>
    <phoneticPr fontId="5" type="noConversion"/>
  </si>
  <si>
    <t>''</t>
    <phoneticPr fontId="5" type="noConversion"/>
  </si>
  <si>
    <t xml:space="preserve">for i in </t>
    <phoneticPr fontId="5" type="noConversion"/>
  </si>
  <si>
    <t>iterable</t>
    <phoneticPr fontId="5" type="noConversion"/>
  </si>
  <si>
    <t>ASCII</t>
    <phoneticPr fontId="5" type="noConversion"/>
  </si>
  <si>
    <t>A</t>
    <phoneticPr fontId="5" type="noConversion"/>
  </si>
  <si>
    <t>a</t>
    <phoneticPr fontId="5" type="noConversion"/>
  </si>
  <si>
    <t>연산자</t>
    <phoneticPr fontId="5" type="noConversion"/>
  </si>
  <si>
    <t>산</t>
    <phoneticPr fontId="5" type="noConversion"/>
  </si>
  <si>
    <t>논</t>
    <phoneticPr fontId="5" type="noConversion"/>
  </si>
  <si>
    <t>과(관계, 비교)</t>
    <phoneticPr fontId="5" type="noConversion"/>
  </si>
  <si>
    <t>pointer 변수</t>
    <phoneticPr fontId="5" type="noConversion"/>
  </si>
  <si>
    <t>=</t>
    <phoneticPr fontId="5" type="noConversion"/>
  </si>
  <si>
    <t>초기화</t>
    <phoneticPr fontId="5" type="noConversion"/>
  </si>
  <si>
    <t>1)변수선언</t>
    <phoneticPr fontId="5" type="noConversion"/>
  </si>
  <si>
    <t>2)값을 할당</t>
    <phoneticPr fontId="5" type="noConversion"/>
  </si>
  <si>
    <t>동적</t>
    <phoneticPr fontId="5" type="noConversion"/>
  </si>
  <si>
    <t>dynamic</t>
    <phoneticPr fontId="5" type="noConversion"/>
  </si>
  <si>
    <t>typing</t>
    <phoneticPr fontId="5" type="noConversion"/>
  </si>
  <si>
    <t>type</t>
    <phoneticPr fontId="5" type="noConversion"/>
  </si>
  <si>
    <t>클래스(틀)</t>
    <phoneticPr fontId="5" type="noConversion"/>
  </si>
  <si>
    <t>파이썬 모든 데이터는 객체</t>
    <phoneticPr fontId="5" type="noConversion"/>
  </si>
  <si>
    <t>자료형이 결정</t>
    <phoneticPr fontId="5" type="noConversion"/>
  </si>
  <si>
    <t>정적</t>
    <phoneticPr fontId="5" type="noConversion"/>
  </si>
  <si>
    <t>static</t>
    <phoneticPr fontId="5" type="noConversion"/>
  </si>
  <si>
    <t>typing</t>
    <phoneticPr fontId="5" type="noConversion"/>
  </si>
  <si>
    <t>int num;</t>
    <phoneticPr fontId="5" type="noConversion"/>
  </si>
  <si>
    <t>num1</t>
    <phoneticPr fontId="5" type="noConversion"/>
  </si>
  <si>
    <t>140709197003416</t>
    <phoneticPr fontId="5" type="noConversion"/>
  </si>
  <si>
    <t>=</t>
    <phoneticPr fontId="5" type="noConversion"/>
  </si>
  <si>
    <t>제어</t>
    <phoneticPr fontId="5" type="noConversion"/>
  </si>
  <si>
    <t>변수
함수
클래스</t>
    <phoneticPr fontId="5" type="noConversion"/>
  </si>
  <si>
    <t>range(1,5)</t>
    <phoneticPr fontId="5" type="noConversion"/>
  </si>
  <si>
    <t>1,2,3,4,5</t>
    <phoneticPr fontId="5" type="noConversion"/>
  </si>
  <si>
    <t>range(1,10+1,2)</t>
    <phoneticPr fontId="5" type="noConversion"/>
  </si>
  <si>
    <t>1,3,5,7,9</t>
    <phoneticPr fontId="5" type="noConversion"/>
  </si>
  <si>
    <t>if True</t>
    <phoneticPr fontId="5" type="noConversion"/>
  </si>
  <si>
    <t>if True</t>
    <phoneticPr fontId="5" type="noConversion"/>
  </si>
  <si>
    <t>else</t>
    <phoneticPr fontId="5" type="noConversion"/>
  </si>
  <si>
    <t>if True</t>
    <phoneticPr fontId="5" type="noConversion"/>
  </si>
  <si>
    <t>elif</t>
    <phoneticPr fontId="5" type="noConversion"/>
  </si>
  <si>
    <t>else</t>
    <phoneticPr fontId="5" type="noConversion"/>
  </si>
  <si>
    <t>for</t>
    <phoneticPr fontId="5" type="noConversion"/>
  </si>
  <si>
    <t>while</t>
    <phoneticPr fontId="5" type="noConversion"/>
  </si>
  <si>
    <t>break, continue</t>
    <phoneticPr fontId="5" type="noConversion"/>
  </si>
  <si>
    <t>AI,ML,DL</t>
    <phoneticPr fontId="5" type="noConversion"/>
  </si>
  <si>
    <t>AI</t>
    <phoneticPr fontId="5" type="noConversion"/>
  </si>
  <si>
    <t>인간흉내</t>
    <phoneticPr fontId="5" type="noConversion"/>
  </si>
  <si>
    <t>ML</t>
    <phoneticPr fontId="5" type="noConversion"/>
  </si>
  <si>
    <t>T P E</t>
    <phoneticPr fontId="5" type="noConversion"/>
  </si>
  <si>
    <t>DL</t>
    <phoneticPr fontId="5" type="noConversion"/>
  </si>
  <si>
    <t>신경망</t>
    <phoneticPr fontId="5" type="noConversion"/>
  </si>
  <si>
    <t>ML, DataMining</t>
    <phoneticPr fontId="5" type="noConversion"/>
  </si>
  <si>
    <t>데이터 마이닝은 과거 데이터에서 패턴을 발견하는 데 주력하고, 머신러닝은 이러한 패턴을 활용하여 예측을 하는 데 중점</t>
  </si>
  <si>
    <t>통계, DataMining</t>
    <phoneticPr fontId="5" type="noConversion"/>
  </si>
  <si>
    <t>표본 (sample)의 관찰을 통해 모집단(population)의 모수(parameter) 전체를 추론(Inference)하는 과정</t>
  </si>
  <si>
    <t>통계</t>
    <phoneticPr fontId="5" type="noConversion"/>
  </si>
  <si>
    <t>데이터마이닝</t>
  </si>
  <si>
    <t>표본조사 / 실험에서 필연적으로 수반되는 분포라든가 모형에 대한 전제조건이 필요하지 않음 </t>
  </si>
  <si>
    <t>→ 모집단의 전체자료를 이용하여 필요한 정보/지식을 추출하는 과정</t>
  </si>
  <si>
    <t>대용량 자료여야 한다는 전제조건 있음</t>
  </si>
  <si>
    <t>머신러닝 기반 데이터분석 기법 유형</t>
    <phoneticPr fontId="5" type="noConversion"/>
  </si>
  <si>
    <t>X</t>
    <phoneticPr fontId="5" type="noConversion"/>
  </si>
  <si>
    <t>Y</t>
    <phoneticPr fontId="5" type="noConversion"/>
  </si>
  <si>
    <t>O</t>
    <phoneticPr fontId="5" type="noConversion"/>
  </si>
  <si>
    <t>지도</t>
    <phoneticPr fontId="5" type="noConversion"/>
  </si>
  <si>
    <t>비지도</t>
    <phoneticPr fontId="5" type="noConversion"/>
  </si>
  <si>
    <t>-&gt;</t>
    <phoneticPr fontId="5" type="noConversion"/>
  </si>
  <si>
    <t>회귀</t>
    <phoneticPr fontId="5" type="noConversion"/>
  </si>
  <si>
    <t>수치형</t>
    <phoneticPr fontId="5" type="noConversion"/>
  </si>
  <si>
    <t>범주형</t>
    <phoneticPr fontId="5" type="noConversion"/>
  </si>
  <si>
    <t>분류</t>
    <phoneticPr fontId="5" type="noConversion"/>
  </si>
  <si>
    <t>클러스터링</t>
    <phoneticPr fontId="5" type="noConversion"/>
  </si>
  <si>
    <t>컴퓨터가 인간의 행동을 모방할 수 있도록 하는 모든 기술</t>
  </si>
  <si>
    <t>명시적으로 프로그래밍하지 않고도 컴퓨터가 학습할 수 있는 능력을 부여하는 AI 기술</t>
  </si>
  <si>
    <t>다층 신경망의 계산을 가능하게 하는 ML의 하위 집합</t>
  </si>
  <si>
    <t>"추론", "추정", "추측"</t>
  </si>
  <si>
    <t>"추론", "추정", "추측"은 모두 어떤 정보를 바탕으로 결론을 도출하는 과정과 관련이 있지만, 각 용어는 약간의 차이가 있습니다.</t>
  </si>
  <si>
    <t>추론 (Inference)</t>
  </si>
  <si>
    <r>
      <t>특징</t>
    </r>
    <r>
      <rPr>
        <sz val="11"/>
        <color rgb="FF000000"/>
        <rFont val="Arial"/>
        <family val="2"/>
      </rPr>
      <t>: 논리적이고 체계적인 과정으로, 일반적으로 명확한 증거나 사실에 의존합니다.</t>
    </r>
  </si>
  <si>
    <r>
      <t>예시</t>
    </r>
    <r>
      <rPr>
        <sz val="11"/>
        <color rgb="FF000000"/>
        <rFont val="Arial"/>
        <family val="2"/>
      </rPr>
      <t>: "모든 사람은 죽는다. 소크라테스는 사람이다. 따라서 소크라테스는 죽는다."</t>
    </r>
  </si>
  <si>
    <t>추정 (Estimation)</t>
  </si>
  <si>
    <r>
      <t>특징</t>
    </r>
    <r>
      <rPr>
        <sz val="11"/>
        <color rgb="FF000000"/>
        <rFont val="Arial"/>
        <family val="2"/>
      </rPr>
      <t>: 수치적이거나 양적인 근사치를 제공하며, 일반적으로 통계적 방법이나 경험에 의존합니다.</t>
    </r>
  </si>
  <si>
    <r>
      <t>예시</t>
    </r>
    <r>
      <rPr>
        <sz val="11"/>
        <color rgb="FF000000"/>
        <rFont val="Arial"/>
        <family val="2"/>
      </rPr>
      <t>: "이 프로젝트는 약 3개월이 걸릴 것으로 추정된다."</t>
    </r>
  </si>
  <si>
    <t>추측 (Guess)</t>
  </si>
  <si>
    <r>
      <t>특징</t>
    </r>
    <r>
      <rPr>
        <sz val="11"/>
        <color rgb="FF000000"/>
        <rFont val="Arial"/>
        <family val="2"/>
      </rPr>
      <t>: 근거가 명확하지 않으며, 주로 주관적인 판단에 의존합니다.</t>
    </r>
  </si>
  <si>
    <r>
      <t>예시</t>
    </r>
    <r>
      <rPr>
        <sz val="11"/>
        <color rgb="FF000000"/>
        <rFont val="Arial"/>
        <family val="2"/>
      </rPr>
      <t>: "그가 오늘 회의에 늦을 것 같아. 그냥 그렇게 생각해."</t>
    </r>
  </si>
  <si>
    <t>이렇게 각 용어는 사용하는 상황과 맥락에 따라 다르게 적용됩니다.</t>
  </si>
  <si>
    <r>
      <rPr>
        <b/>
        <sz val="11"/>
        <color rgb="FF000000"/>
        <rFont val="돋움"/>
        <family val="3"/>
        <charset val="129"/>
      </rPr>
      <t>정의</t>
    </r>
    <r>
      <rPr>
        <sz val="11"/>
        <color rgb="FF000000"/>
        <rFont val="Arial"/>
        <family val="2"/>
      </rPr>
      <t xml:space="preserve">: </t>
    </r>
    <r>
      <rPr>
        <sz val="11"/>
        <color rgb="FF000000"/>
        <rFont val="돋움"/>
        <family val="3"/>
        <charset val="129"/>
      </rPr>
      <t>정보가</t>
    </r>
    <r>
      <rPr>
        <sz val="11"/>
        <color rgb="FF000000"/>
        <rFont val="Arial"/>
        <family val="2"/>
      </rPr>
      <t xml:space="preserve"> </t>
    </r>
    <r>
      <rPr>
        <sz val="11"/>
        <color rgb="FF000000"/>
        <rFont val="돋움"/>
        <family val="3"/>
        <charset val="129"/>
      </rPr>
      <t>부족할</t>
    </r>
    <r>
      <rPr>
        <sz val="11"/>
        <color rgb="FF000000"/>
        <rFont val="Arial"/>
        <family val="2"/>
      </rPr>
      <t xml:space="preserve"> </t>
    </r>
    <r>
      <rPr>
        <sz val="11"/>
        <color rgb="FF000000"/>
        <rFont val="돋움"/>
        <family val="3"/>
        <charset val="129"/>
      </rPr>
      <t>때</t>
    </r>
    <r>
      <rPr>
        <sz val="11"/>
        <color rgb="FF000000"/>
        <rFont val="Arial"/>
        <family val="2"/>
      </rPr>
      <t xml:space="preserve"> </t>
    </r>
    <r>
      <rPr>
        <sz val="11"/>
        <color rgb="FFFF0000"/>
        <rFont val="돋움"/>
        <family val="3"/>
        <charset val="129"/>
      </rPr>
      <t>직감이나</t>
    </r>
    <r>
      <rPr>
        <sz val="11"/>
        <color rgb="FFFF0000"/>
        <rFont val="Arial"/>
        <family val="2"/>
      </rPr>
      <t xml:space="preserve"> </t>
    </r>
    <r>
      <rPr>
        <sz val="11"/>
        <color rgb="FFFF0000"/>
        <rFont val="돋움"/>
        <family val="3"/>
        <charset val="129"/>
      </rPr>
      <t>직관</t>
    </r>
    <r>
      <rPr>
        <sz val="11"/>
        <color rgb="FF000000"/>
        <rFont val="돋움"/>
        <family val="3"/>
        <charset val="129"/>
      </rPr>
      <t>에</t>
    </r>
    <r>
      <rPr>
        <sz val="11"/>
        <color rgb="FF000000"/>
        <rFont val="Arial"/>
        <family val="2"/>
      </rPr>
      <t xml:space="preserve"> </t>
    </r>
    <r>
      <rPr>
        <sz val="11"/>
        <color rgb="FF000000"/>
        <rFont val="돋움"/>
        <family val="3"/>
        <charset val="129"/>
      </rPr>
      <t>따라</t>
    </r>
    <r>
      <rPr>
        <sz val="11"/>
        <color rgb="FF000000"/>
        <rFont val="Arial"/>
        <family val="2"/>
      </rPr>
      <t xml:space="preserve"> </t>
    </r>
    <r>
      <rPr>
        <sz val="11"/>
        <color rgb="FF000000"/>
        <rFont val="돋움"/>
        <family val="3"/>
        <charset val="129"/>
      </rPr>
      <t>결론을</t>
    </r>
    <r>
      <rPr>
        <sz val="11"/>
        <color rgb="FF000000"/>
        <rFont val="Arial"/>
        <family val="2"/>
      </rPr>
      <t xml:space="preserve"> </t>
    </r>
    <r>
      <rPr>
        <sz val="11"/>
        <color rgb="FF000000"/>
        <rFont val="돋움"/>
        <family val="3"/>
        <charset val="129"/>
      </rPr>
      <t>내리는</t>
    </r>
    <r>
      <rPr>
        <sz val="11"/>
        <color rgb="FF000000"/>
        <rFont val="Arial"/>
        <family val="2"/>
      </rPr>
      <t xml:space="preserve"> </t>
    </r>
    <r>
      <rPr>
        <sz val="11"/>
        <color rgb="FF000000"/>
        <rFont val="돋움"/>
        <family val="3"/>
        <charset val="129"/>
      </rPr>
      <t>과정</t>
    </r>
    <r>
      <rPr>
        <sz val="11"/>
        <color rgb="FF000000"/>
        <rFont val="Arial"/>
        <family val="2"/>
      </rPr>
      <t>.</t>
    </r>
    <phoneticPr fontId="5" type="noConversion"/>
  </si>
  <si>
    <r>
      <rPr>
        <b/>
        <sz val="11"/>
        <color rgb="FF000000"/>
        <rFont val="돋움"/>
        <family val="3"/>
        <charset val="129"/>
      </rPr>
      <t>정의</t>
    </r>
    <r>
      <rPr>
        <sz val="11"/>
        <color rgb="FF000000"/>
        <rFont val="Arial"/>
        <family val="2"/>
      </rPr>
      <t xml:space="preserve">: </t>
    </r>
    <r>
      <rPr>
        <sz val="11"/>
        <color rgb="FFFF0000"/>
        <rFont val="돋움"/>
        <family val="3"/>
        <charset val="129"/>
      </rPr>
      <t>불완전한</t>
    </r>
    <r>
      <rPr>
        <sz val="11"/>
        <color rgb="FFFF0000"/>
        <rFont val="Arial"/>
        <family val="2"/>
      </rPr>
      <t xml:space="preserve"> </t>
    </r>
    <r>
      <rPr>
        <sz val="11"/>
        <color rgb="FFFF0000"/>
        <rFont val="돋움"/>
        <family val="3"/>
        <charset val="129"/>
      </rPr>
      <t>정보나</t>
    </r>
    <r>
      <rPr>
        <sz val="11"/>
        <color rgb="FFFF0000"/>
        <rFont val="Arial"/>
        <family val="2"/>
      </rPr>
      <t xml:space="preserve"> </t>
    </r>
    <r>
      <rPr>
        <sz val="11"/>
        <color rgb="FFFF0000"/>
        <rFont val="돋움"/>
        <family val="3"/>
        <charset val="129"/>
      </rPr>
      <t>데이터에</t>
    </r>
    <r>
      <rPr>
        <sz val="11"/>
        <color rgb="FFFF0000"/>
        <rFont val="Arial"/>
        <family val="2"/>
      </rPr>
      <t xml:space="preserve"> </t>
    </r>
    <r>
      <rPr>
        <sz val="11"/>
        <color rgb="FFFF0000"/>
        <rFont val="돋움"/>
        <family val="3"/>
        <charset val="129"/>
      </rPr>
      <t>기반</t>
    </r>
    <r>
      <rPr>
        <sz val="11"/>
        <color rgb="FF000000"/>
        <rFont val="돋움"/>
        <family val="3"/>
        <charset val="129"/>
      </rPr>
      <t>하여</t>
    </r>
    <r>
      <rPr>
        <sz val="11"/>
        <color rgb="FF000000"/>
        <rFont val="Arial"/>
        <family val="2"/>
      </rPr>
      <t xml:space="preserve"> </t>
    </r>
    <r>
      <rPr>
        <sz val="11"/>
        <color rgb="FF000000"/>
        <rFont val="돋움"/>
        <family val="3"/>
        <charset val="129"/>
      </rPr>
      <t>어떤</t>
    </r>
    <r>
      <rPr>
        <sz val="11"/>
        <color rgb="FF000000"/>
        <rFont val="Arial"/>
        <family val="2"/>
      </rPr>
      <t xml:space="preserve"> </t>
    </r>
    <r>
      <rPr>
        <sz val="11"/>
        <color rgb="FF000000"/>
        <rFont val="돋움"/>
        <family val="3"/>
        <charset val="129"/>
      </rPr>
      <t>값이나</t>
    </r>
    <r>
      <rPr>
        <sz val="11"/>
        <color rgb="FF000000"/>
        <rFont val="Arial"/>
        <family val="2"/>
      </rPr>
      <t xml:space="preserve"> </t>
    </r>
    <r>
      <rPr>
        <sz val="11"/>
        <color rgb="FF000000"/>
        <rFont val="돋움"/>
        <family val="3"/>
        <charset val="129"/>
      </rPr>
      <t>상황을</t>
    </r>
    <r>
      <rPr>
        <sz val="11"/>
        <color rgb="FF000000"/>
        <rFont val="Arial"/>
        <family val="2"/>
      </rPr>
      <t xml:space="preserve"> </t>
    </r>
    <r>
      <rPr>
        <sz val="11"/>
        <color rgb="FF000000"/>
        <rFont val="돋움"/>
        <family val="3"/>
        <charset val="129"/>
      </rPr>
      <t>평가하는</t>
    </r>
    <r>
      <rPr>
        <sz val="11"/>
        <color rgb="FF000000"/>
        <rFont val="Arial"/>
        <family val="2"/>
      </rPr>
      <t xml:space="preserve"> </t>
    </r>
    <r>
      <rPr>
        <sz val="11"/>
        <color rgb="FF000000"/>
        <rFont val="돋움"/>
        <family val="3"/>
        <charset val="129"/>
      </rPr>
      <t>과정</t>
    </r>
    <r>
      <rPr>
        <sz val="11"/>
        <color rgb="FF000000"/>
        <rFont val="Arial"/>
        <family val="2"/>
      </rPr>
      <t>.</t>
    </r>
    <phoneticPr fontId="5" type="noConversion"/>
  </si>
  <si>
    <r>
      <rPr>
        <b/>
        <sz val="11"/>
        <color rgb="FF000000"/>
        <rFont val="돋움"/>
        <family val="3"/>
        <charset val="129"/>
      </rPr>
      <t>정의</t>
    </r>
    <r>
      <rPr>
        <sz val="11"/>
        <color rgb="FF000000"/>
        <rFont val="Arial"/>
        <family val="2"/>
      </rPr>
      <t xml:space="preserve">: </t>
    </r>
    <r>
      <rPr>
        <sz val="11"/>
        <color rgb="FF000000"/>
        <rFont val="돋움"/>
        <family val="3"/>
        <charset val="129"/>
      </rPr>
      <t>주어진</t>
    </r>
    <r>
      <rPr>
        <sz val="11"/>
        <color rgb="FF000000"/>
        <rFont val="Arial"/>
        <family val="2"/>
      </rPr>
      <t xml:space="preserve"> </t>
    </r>
    <r>
      <rPr>
        <sz val="11"/>
        <color rgb="FF000000"/>
        <rFont val="돋움"/>
        <family val="3"/>
        <charset val="129"/>
      </rPr>
      <t>정보나</t>
    </r>
    <r>
      <rPr>
        <sz val="11"/>
        <color rgb="FF000000"/>
        <rFont val="Arial"/>
        <family val="2"/>
      </rPr>
      <t xml:space="preserve"> </t>
    </r>
    <r>
      <rPr>
        <sz val="11"/>
        <color rgb="FFFF0000"/>
        <rFont val="Arial"/>
        <family val="2"/>
      </rPr>
      <t>premises((</t>
    </r>
    <r>
      <rPr>
        <sz val="11.5"/>
        <color rgb="FFFF0000"/>
        <rFont val="돋움"/>
        <family val="3"/>
        <charset val="129"/>
      </rPr>
      <t>주장의</t>
    </r>
    <r>
      <rPr>
        <sz val="11.5"/>
        <color rgb="FFFF0000"/>
        <rFont val="Arial"/>
        <family val="2"/>
      </rPr>
      <t xml:space="preserve">) </t>
    </r>
    <r>
      <rPr>
        <sz val="11.5"/>
        <color rgb="FFFF0000"/>
        <rFont val="돋움"/>
        <family val="3"/>
        <charset val="129"/>
      </rPr>
      <t>전제</t>
    </r>
    <r>
      <rPr>
        <sz val="11.5"/>
        <color rgb="FFFF0000"/>
        <rFont val="Arial"/>
        <family val="2"/>
      </rPr>
      <t>)</t>
    </r>
    <r>
      <rPr>
        <sz val="11"/>
        <color rgb="FFFF0000"/>
        <rFont val="돋움"/>
        <family val="3"/>
        <charset val="129"/>
      </rPr>
      <t>를</t>
    </r>
    <r>
      <rPr>
        <sz val="11"/>
        <color rgb="FFFF0000"/>
        <rFont val="Arial"/>
        <family val="2"/>
      </rPr>
      <t xml:space="preserve"> </t>
    </r>
    <r>
      <rPr>
        <sz val="11"/>
        <color rgb="FFFF0000"/>
        <rFont val="돋움"/>
        <family val="3"/>
        <charset val="129"/>
      </rPr>
      <t>기반으로</t>
    </r>
    <r>
      <rPr>
        <sz val="11"/>
        <color rgb="FFFF0000"/>
        <rFont val="Arial"/>
        <family val="2"/>
      </rPr>
      <t xml:space="preserve"> </t>
    </r>
    <r>
      <rPr>
        <sz val="11"/>
        <color rgb="FFFF0000"/>
        <rFont val="돋움"/>
        <family val="3"/>
        <charset val="129"/>
      </rPr>
      <t>논리적으로</t>
    </r>
    <r>
      <rPr>
        <sz val="11"/>
        <color rgb="FFFF0000"/>
        <rFont val="Arial"/>
        <family val="2"/>
      </rPr>
      <t xml:space="preserve"> </t>
    </r>
    <r>
      <rPr>
        <sz val="11"/>
        <color rgb="FFFF0000"/>
        <rFont val="돋움"/>
        <family val="3"/>
        <charset val="129"/>
      </rPr>
      <t>결론을</t>
    </r>
    <r>
      <rPr>
        <sz val="11"/>
        <color rgb="FFFF0000"/>
        <rFont val="Arial"/>
        <family val="2"/>
      </rPr>
      <t xml:space="preserve"> </t>
    </r>
    <r>
      <rPr>
        <sz val="11"/>
        <color rgb="FFFF0000"/>
        <rFont val="돋움"/>
        <family val="3"/>
        <charset val="129"/>
      </rPr>
      <t>도출</t>
    </r>
    <r>
      <rPr>
        <sz val="11"/>
        <color rgb="FF000000"/>
        <rFont val="돋움"/>
        <family val="3"/>
        <charset val="129"/>
      </rPr>
      <t>하는</t>
    </r>
    <r>
      <rPr>
        <sz val="11"/>
        <color rgb="FF000000"/>
        <rFont val="Arial"/>
        <family val="2"/>
      </rPr>
      <t xml:space="preserve"> </t>
    </r>
    <r>
      <rPr>
        <sz val="11"/>
        <color rgb="FF000000"/>
        <rFont val="돋움"/>
        <family val="3"/>
        <charset val="129"/>
      </rPr>
      <t>과정</t>
    </r>
    <r>
      <rPr>
        <sz val="11"/>
        <color rgb="FF000000"/>
        <rFont val="Arial"/>
        <family val="2"/>
      </rPr>
      <t>. </t>
    </r>
    <phoneticPr fontId="5" type="noConversion"/>
  </si>
  <si>
    <t>자기 지도 학습(self-supervised learning), "one label 학습", 그리고 "one shot learning"은 모두 머신러닝의 학습 방식에 관련된 개념이지만, 각기 다른 목적과 방법론을 가지고 있습니다. 이들의 관계와 차이를 다음과 같이 정리할 수 있습니다.</t>
  </si>
  <si>
    <t>자기 지도 학습 (Self-Supervised Learning)</t>
  </si>
  <si>
    <r>
      <t>정의</t>
    </r>
    <r>
      <rPr>
        <sz val="11"/>
        <color theme="1"/>
        <rFont val="맑은 고딕"/>
        <family val="2"/>
        <scheme val="minor"/>
      </rPr>
      <t>: 레이블이 없는 데이터로부터 스스로 레이블을 생성하여 학습하는 방식입니다. 일반적으로 데이터의 일부를 마스킹하거나 변형하여, 모델이 이를 복원하도록 학습합니다.</t>
    </r>
  </si>
  <si>
    <r>
      <t>예시</t>
    </r>
    <r>
      <rPr>
        <sz val="11"/>
        <color theme="1"/>
        <rFont val="맑은 고딕"/>
        <family val="2"/>
        <scheme val="minor"/>
      </rPr>
      <t>: 이미지의 일부분을 가리고 나머지를 예측하게 하거나, 문장에서 단어를 제거하고 그 단어를 맞추도록 하는 방식입니다.</t>
    </r>
  </si>
  <si>
    <t>One Label 학습</t>
  </si>
  <si>
    <r>
      <t>정의</t>
    </r>
    <r>
      <rPr>
        <sz val="11"/>
        <color theme="1"/>
        <rFont val="맑은 고딕"/>
        <family val="2"/>
        <scheme val="minor"/>
      </rPr>
      <t>: 전체 데이터셋에서 단일 레이블만을 사용하는 학습 방식입니다. 즉, 모든 데이터가 동일한 클래스로 레이블링되어 있습니다.</t>
    </r>
  </si>
  <si>
    <r>
      <t>예시</t>
    </r>
    <r>
      <rPr>
        <sz val="11"/>
        <color theme="1"/>
        <rFont val="맑은 고딕"/>
        <family val="2"/>
        <scheme val="minor"/>
      </rPr>
      <t>: 특정 상황에서 모든 샘플이 '양성'으로 레이블된 데이터셋에서 학습하는 경우입니다.</t>
    </r>
  </si>
  <si>
    <t>One Shot Learning</t>
  </si>
  <si>
    <r>
      <t>정의</t>
    </r>
    <r>
      <rPr>
        <sz val="11"/>
        <color theme="1"/>
        <rFont val="맑은 고딕"/>
        <family val="2"/>
        <scheme val="minor"/>
      </rPr>
      <t>: 모델이 단 한 번의 예시만으로 새로운 클래스를 학습할 수 있는 능력입니다. 일반적으로 새로운 클래스에 대한 데이터가 매우 적거나 하나만 제공되는 경우에 사용됩니다.</t>
    </r>
  </si>
  <si>
    <r>
      <t>예시</t>
    </r>
    <r>
      <rPr>
        <sz val="11"/>
        <color theme="1"/>
        <rFont val="맑은 고딕"/>
        <family val="2"/>
        <scheme val="minor"/>
      </rPr>
      <t>: 새로운 얼굴을 한 번 보여주고, 그 얼굴을 인식하도록 학습하는 방식입니다.</t>
    </r>
  </si>
  <si>
    <t>관계 및 차이</t>
  </si>
  <si>
    <r>
      <t>관계</t>
    </r>
    <r>
      <rPr>
        <sz val="11"/>
        <color theme="1"/>
        <rFont val="맑은 고딕"/>
        <family val="2"/>
        <scheme val="minor"/>
      </rPr>
      <t>:</t>
    </r>
  </si>
  <si>
    <t>자기 지도 학습은 레이블이 없는 데이터에서 패턴을 학습하는 방식으로, "one label 학습"이나 "one shot learning"과 같은 특정 상황에서 유용하게 사용될 수 있습니다.</t>
  </si>
  <si>
    <t>"one label 학습"은 특정한 레이블 구조에 대한 것이며, 자기 지도 학습과는 다소 다른 맥락에서 사용됩니다.</t>
  </si>
  <si>
    <t>"one shot learning"은 특정한 학습 목표를 가지고 있으며, 자기 지도 학습의 방법론을 활용할 수도 있습니다.</t>
  </si>
  <si>
    <r>
      <t>차이</t>
    </r>
    <r>
      <rPr>
        <sz val="11"/>
        <color theme="1"/>
        <rFont val="맑은 고딕"/>
        <family val="2"/>
        <scheme val="minor"/>
      </rPr>
      <t>:</t>
    </r>
  </si>
  <si>
    <t>자기 지도 학습은 레이블 없는 데이터를 활용하여 모델을 학습시키는 방식이지만, "one label 학습"은 특정한 레이블 구조에 초점을 맞춘 것입니다.</t>
  </si>
  <si>
    <t>"one shot learning"은 개별 클래스의 학습을 강조하며, 단 한 번의 예시로도 학습이 가능하다는 점에서 다른 두 개념과 구별됩니다.</t>
  </si>
  <si>
    <t>이상치(outlier)와 특이치(anomaly)는 데이터 분석에서 자주 사용되는 용어로, 둘 사이에는 미세한 차이가 있습니다.</t>
  </si>
  <si>
    <t>이상치 (Outlier)</t>
  </si>
  <si>
    <r>
      <t>정의</t>
    </r>
    <r>
      <rPr>
        <sz val="11"/>
        <color rgb="FF000000"/>
        <rFont val="Arial"/>
        <family val="2"/>
      </rPr>
      <t>: 데이터 집합에서 다른 값들과 현저하게 다른 값을 의미합니다. 일반적으로 통계적 분석에서 평균이나 중앙값 등과 비교할 때 벗어난 값으로 정의됩니다.</t>
    </r>
  </si>
  <si>
    <r>
      <t>특징</t>
    </r>
    <r>
      <rPr>
        <sz val="11"/>
        <color rgb="FF000000"/>
        <rFont val="Arial"/>
        <family val="2"/>
      </rPr>
      <t>: 이상치는 데이터의 분포를 왜곡할 수 있으며, 분석 결과에 큰 영향을 미칠 수 있습니다. 이상치를 탐지하고 처리하는 것은 데이터 분석에서 중요한 단계입니다.</t>
    </r>
  </si>
  <si>
    <t>특이치 (Anomaly)</t>
  </si>
  <si>
    <r>
      <t>정의</t>
    </r>
    <r>
      <rPr>
        <sz val="11"/>
        <color rgb="FF000000"/>
        <rFont val="Arial"/>
        <family val="2"/>
      </rPr>
      <t>: 일반적인 패턴이나 기대되는 행동에서 벗어난 데이터 포인트를 의미합니다. 이는 반드시 수치적으로 이상할 필요는 없으며, 특정 컨텍스트에서 비정상적일 수 있는 값을 포함합니다.</t>
    </r>
  </si>
  <si>
    <r>
      <t>특징</t>
    </r>
    <r>
      <rPr>
        <sz val="11"/>
        <color rgb="FF000000"/>
        <rFont val="Arial"/>
        <family val="2"/>
      </rPr>
      <t>: 특이치는 보안 이상 탐지, fraud detection(사기 탐지) 등에서 중요한 역할을 하며, 비정상적인 행동이나 사건을 식별하는 데 사용됩니다.</t>
    </r>
  </si>
  <si>
    <t>유사한 용어들</t>
  </si>
  <si>
    <r>
      <t>1. 노이즈(Noise)</t>
    </r>
    <r>
      <rPr>
        <sz val="11"/>
        <color rgb="FF000000"/>
        <rFont val="Arial"/>
        <family val="2"/>
      </rPr>
      <t>: 데이터에 포함된 무작위 오류나 변동으로, 신호와는 구분되는 부분입니다.</t>
    </r>
  </si>
  <si>
    <r>
      <t>2. 편차 (Deviation)</t>
    </r>
    <r>
      <rPr>
        <sz val="11"/>
        <color rgb="FF000000"/>
        <rFont val="Arial"/>
        <family val="2"/>
      </rPr>
      <t>: 특정 기준(예: 평균)에서의 데이터 포인트의 차이를 나타냅니다.</t>
    </r>
  </si>
  <si>
    <r>
      <t>3. 변칙(Irregularity)</t>
    </r>
    <r>
      <rPr>
        <sz val="11"/>
        <color rgb="FF000000"/>
        <rFont val="Arial"/>
        <family val="2"/>
      </rPr>
      <t>: 일반적인 규칙이나 패턴에서 벗어난 상태를 의미합니다.</t>
    </r>
  </si>
  <si>
    <t>이처럼 이상치와 특이치는 서로 유사하지만, 주로 사용되는 맥락과 정의에서 차이가 있습니다.</t>
  </si>
  <si>
    <t>지식, 지능, 지혜는 모두 인간의 인지적 능력과 관련된 개념이지만, 각각 다른 의미와 역할을 가지고 있습니다. 이들의 차이와 관계를 아래에서 설명하겠습니다.</t>
  </si>
  <si>
    <t>1. 지식 (Knowledge)</t>
  </si>
  <si>
    <r>
      <t>정의</t>
    </r>
    <r>
      <rPr>
        <sz val="11"/>
        <color theme="1"/>
        <rFont val="맑은 고딕"/>
        <family val="2"/>
        <scheme val="minor"/>
      </rPr>
      <t>: 정보나 사실에 대한 이해와 인식. 경험이나 학습을 통해 축적된 내용입니다.</t>
    </r>
  </si>
  <si>
    <r>
      <t>특징</t>
    </r>
    <r>
      <rPr>
        <sz val="11"/>
        <color theme="1"/>
        <rFont val="맑은 고딕"/>
        <family val="2"/>
        <scheme val="minor"/>
      </rPr>
      <t>:</t>
    </r>
  </si>
  <si>
    <t>주로 교과서적이고 이론적인 내용 포함</t>
  </si>
  <si>
    <t>경험이나 교육을 통해 얻어지는 것</t>
  </si>
  <si>
    <r>
      <t>예시</t>
    </r>
    <r>
      <rPr>
        <sz val="11"/>
        <color theme="1"/>
        <rFont val="맑은 고딕"/>
        <family val="2"/>
        <scheme val="minor"/>
      </rPr>
      <t>: 역사적 사건, 수학 공식, 언어 규칙 등.</t>
    </r>
  </si>
  <si>
    <t>2. 지능 (Intelligence)</t>
  </si>
  <si>
    <r>
      <t>정의</t>
    </r>
    <r>
      <rPr>
        <sz val="11"/>
        <color theme="1"/>
        <rFont val="맑은 고딕"/>
        <family val="2"/>
        <scheme val="minor"/>
      </rPr>
      <t>: 문제 해결, 학습, 사고, 이해 등을 수행하는 능력. 다양한 형태의 지능이 존재합니다 (예: 논리적, 언어적, 공간적).</t>
    </r>
  </si>
  <si>
    <t>새로운 상황에 적응하고, 정보를 처리하는 능력</t>
  </si>
  <si>
    <t>IQ 테스트와 같은 방식으로 측정 가능</t>
  </si>
  <si>
    <r>
      <t>예시</t>
    </r>
    <r>
      <rPr>
        <sz val="11"/>
        <color theme="1"/>
        <rFont val="맑은 고딕"/>
        <family val="2"/>
        <scheme val="minor"/>
      </rPr>
      <t>: 수학 문제를 풀거나 언어를 배우는 능력.</t>
    </r>
  </si>
  <si>
    <t>3. 지혜 (Wisdom)</t>
  </si>
  <si>
    <r>
      <t>정의</t>
    </r>
    <r>
      <rPr>
        <sz val="11"/>
        <color theme="1"/>
        <rFont val="맑은 고딕"/>
        <family val="2"/>
        <scheme val="minor"/>
      </rPr>
      <t>: 경험을 바탕으로 한 깊은 이해와 판단력. 도덕적, 윤리적 고려를 포함하여 올바른 결정을 내리는 능력입니다.</t>
    </r>
  </si>
  <si>
    <t>단순한 정보나 지식 이상의 것</t>
  </si>
  <si>
    <t>경험과 통찰을 통해 얻어지는 조화로운 사고</t>
  </si>
  <si>
    <r>
      <t>예시</t>
    </r>
    <r>
      <rPr>
        <sz val="11"/>
        <color theme="1"/>
        <rFont val="맑은 고딕"/>
        <family val="2"/>
        <scheme val="minor"/>
      </rPr>
      <t>: 어려운 상황에서의 올바른 선택, 인생에 대한 깊은 통찰.</t>
    </r>
  </si>
  <si>
    <t>관계</t>
  </si>
  <si>
    <r>
      <t>지식</t>
    </r>
    <r>
      <rPr>
        <sz val="11"/>
        <color theme="1"/>
        <rFont val="맑은 고딕"/>
        <family val="2"/>
        <scheme val="minor"/>
      </rPr>
      <t xml:space="preserve">이 쌓이면 </t>
    </r>
    <r>
      <rPr>
        <b/>
        <sz val="11"/>
        <color theme="1"/>
        <rFont val="맑은 고딕"/>
        <family val="3"/>
        <charset val="129"/>
        <scheme val="minor"/>
      </rPr>
      <t>지능</t>
    </r>
    <r>
      <rPr>
        <sz val="11"/>
        <color theme="1"/>
        <rFont val="맑은 고딕"/>
        <family val="2"/>
        <scheme val="minor"/>
      </rPr>
      <t>이 발휘되어 문제를 해결하는 데 도움을 줍니다.</t>
    </r>
  </si>
  <si>
    <r>
      <t>지능</t>
    </r>
    <r>
      <rPr>
        <sz val="11"/>
        <color theme="1"/>
        <rFont val="맑은 고딕"/>
        <family val="2"/>
        <scheme val="minor"/>
      </rPr>
      <t xml:space="preserve">이 발전하면, </t>
    </r>
    <r>
      <rPr>
        <b/>
        <sz val="11"/>
        <color theme="1"/>
        <rFont val="맑은 고딕"/>
        <family val="3"/>
        <charset val="129"/>
        <scheme val="minor"/>
      </rPr>
      <t>지식</t>
    </r>
    <r>
      <rPr>
        <sz val="11"/>
        <color theme="1"/>
        <rFont val="맑은 고딕"/>
        <family val="2"/>
        <scheme val="minor"/>
      </rPr>
      <t>을 효과적으로 활용하여 더 나은 결정을 내릴 수 있습니다.</t>
    </r>
  </si>
  <si>
    <r>
      <t>지혜</t>
    </r>
    <r>
      <rPr>
        <sz val="11"/>
        <color theme="1"/>
        <rFont val="맑은 고딕"/>
        <family val="2"/>
        <scheme val="minor"/>
      </rPr>
      <t>는 이러한 지식과 지능을 바탕으로 경험을 통해 발전하며, 올바른 판단과 행동을 이끌어냅니다.</t>
    </r>
  </si>
  <si>
    <r>
      <t>지식</t>
    </r>
    <r>
      <rPr>
        <sz val="11"/>
        <color theme="1"/>
        <rFont val="맑은 고딕"/>
        <family val="2"/>
        <scheme val="minor"/>
      </rPr>
      <t>: 정보와 사실의 집합</t>
    </r>
  </si>
  <si>
    <r>
      <t>지능</t>
    </r>
    <r>
      <rPr>
        <sz val="11"/>
        <color theme="1"/>
        <rFont val="맑은 고딕"/>
        <family val="2"/>
        <scheme val="minor"/>
      </rPr>
      <t>: 문제 해결과 학습 능력</t>
    </r>
  </si>
  <si>
    <r>
      <t>지혜</t>
    </r>
    <r>
      <rPr>
        <sz val="11"/>
        <color theme="1"/>
        <rFont val="맑은 고딕"/>
        <family val="2"/>
        <scheme val="minor"/>
      </rPr>
      <t>: 경험을 바탕으로 한 깊은 이해와 윤리적 판단</t>
    </r>
  </si>
  <si>
    <t>이 세 가지는 서로 보완적인 관계에 있으며, 개인의 발전과 성장에 중요한 역할을 합니다.</t>
  </si>
  <si>
    <t>파일 읽고 쓰기</t>
    <phoneticPr fontId="5" type="noConversion"/>
  </si>
  <si>
    <t>인코딩</t>
    <phoneticPr fontId="5" type="noConversion"/>
  </si>
  <si>
    <t>디코딩</t>
    <phoneticPr fontId="5" type="noConversion"/>
  </si>
  <si>
    <t>문자집합</t>
    <phoneticPr fontId="5" type="noConversion"/>
  </si>
  <si>
    <t>한국어</t>
    <phoneticPr fontId="5" type="noConversion"/>
  </si>
  <si>
    <t>utf8</t>
    <phoneticPr fontId="5" type="noConversion"/>
  </si>
  <si>
    <t>UTF-8</t>
    <phoneticPr fontId="5" type="noConversion"/>
  </si>
  <si>
    <t>korean(euc-kr)</t>
    <phoneticPr fontId="5" type="noConversion"/>
  </si>
  <si>
    <t>cp949</t>
    <phoneticPr fontId="5" type="noConversion"/>
  </si>
  <si>
    <t>클래스</t>
    <phoneticPr fontId="5" type="noConversion"/>
  </si>
  <si>
    <t>설계도</t>
    <phoneticPr fontId="5" type="noConversion"/>
  </si>
  <si>
    <t>차</t>
    <phoneticPr fontId="5" type="noConversion"/>
  </si>
  <si>
    <t>붕어빵틀</t>
    <phoneticPr fontId="5" type="noConversion"/>
  </si>
  <si>
    <t>붕어빵</t>
    <phoneticPr fontId="5" type="noConversion"/>
  </si>
  <si>
    <t>객체.</t>
    <phoneticPr fontId="5" type="noConversion"/>
  </si>
  <si>
    <t>.은 접근 연산자</t>
    <phoneticPr fontId="5" type="noConversion"/>
  </si>
  <si>
    <t>.은 클래스에 접근하다</t>
    <phoneticPr fontId="5" type="noConversion"/>
  </si>
  <si>
    <t>Car</t>
    <phoneticPr fontId="5" type="noConversion"/>
  </si>
  <si>
    <t>color</t>
    <phoneticPr fontId="5" type="noConversion"/>
  </si>
  <si>
    <t>roll()</t>
    <phoneticPr fontId="5" type="noConversion"/>
  </si>
  <si>
    <t>OOP</t>
    <phoneticPr fontId="5" type="noConversion"/>
  </si>
  <si>
    <t>함수, 메서드</t>
    <phoneticPr fontId="5" type="noConversion"/>
  </si>
  <si>
    <t>변수</t>
    <phoneticPr fontId="5" type="noConversion"/>
  </si>
  <si>
    <t>요구사항</t>
    <phoneticPr fontId="5" type="noConversion"/>
  </si>
  <si>
    <t>차가 달린다.</t>
    <phoneticPr fontId="5" type="noConversion"/>
  </si>
  <si>
    <t>내차(OO 1234)</t>
    <phoneticPr fontId="5" type="noConversion"/>
  </si>
  <si>
    <t>눈에 보이는 것</t>
    <phoneticPr fontId="5" type="noConversion"/>
  </si>
  <si>
    <t>메모리안에 실체화되서</t>
    <phoneticPr fontId="5" type="noConversion"/>
  </si>
  <si>
    <t>주소값을 가지고 값이 들어가 있어야 함</t>
    <phoneticPr fontId="5" type="noConversion"/>
  </si>
  <si>
    <t>mycar</t>
    <phoneticPr fontId="5" type="noConversion"/>
  </si>
  <si>
    <t>생성(construct)</t>
    <phoneticPr fontId="5" type="noConversion"/>
  </si>
  <si>
    <t>클래스명()</t>
    <phoneticPr fontId="5" type="noConversion"/>
  </si>
  <si>
    <t>생성자(constructor) 함수</t>
    <phoneticPr fontId="5" type="noConversion"/>
  </si>
  <si>
    <t>객체 지향 프로그래밍</t>
    <phoneticPr fontId="5" type="noConversion"/>
  </si>
  <si>
    <t>객체 간의 관계</t>
  </si>
  <si>
    <t>Car</t>
    <phoneticPr fontId="5" type="noConversion"/>
  </si>
  <si>
    <t>주소값</t>
    <phoneticPr fontId="5" type="noConversion"/>
  </si>
  <si>
    <t>객체 관계 예제 프로그래밍 실습</t>
    <phoneticPr fontId="5" type="noConversion"/>
  </si>
  <si>
    <t>프린터</t>
    <phoneticPr fontId="5" type="noConversion"/>
  </si>
  <si>
    <t>사무원</t>
    <phoneticPr fontId="5" type="noConversion"/>
  </si>
  <si>
    <t>1. 사용 관계</t>
    <phoneticPr fontId="5" type="noConversion"/>
  </si>
  <si>
    <t>사무원이 프린터를 사용하여 어떤 문서를 프린트 함</t>
    <phoneticPr fontId="5" type="noConversion"/>
  </si>
  <si>
    <t>2. 포함 관계</t>
    <phoneticPr fontId="5" type="noConversion"/>
  </si>
  <si>
    <t>엔진</t>
    <phoneticPr fontId="5" type="noConversion"/>
  </si>
  <si>
    <t>엔진을 스타트 후 차가 달림</t>
    <phoneticPr fontId="5" type="noConversion"/>
  </si>
  <si>
    <t>3. 상속 관계</t>
    <phoneticPr fontId="5" type="noConversion"/>
  </si>
  <si>
    <t>동물이 운다.</t>
    <phoneticPr fontId="5" type="noConversion"/>
  </si>
  <si>
    <t>강아지 멍멍</t>
    <phoneticPr fontId="5" type="noConversion"/>
  </si>
  <si>
    <t xml:space="preserve">EDA (문제 파악) - 전처리 (문제 처리) - Feature Engineering (변수 선정, 차원 축소) </t>
  </si>
  <si>
    <t>데이터프레임</t>
    <phoneticPr fontId="5" type="noConversion"/>
  </si>
  <si>
    <t>칼럼단위</t>
    <phoneticPr fontId="5" type="noConversion"/>
  </si>
  <si>
    <t>시리즈(인덱스가 있는 배열)</t>
    <phoneticPr fontId="5" type="noConversion"/>
  </si>
  <si>
    <t>가급적 인덱스(행이름같은역할)와 칼럼명(열이름)을 설저어 후 접근</t>
    <phoneticPr fontId="5" type="noConversion"/>
  </si>
  <si>
    <t>행 접근시에는 loc와 iloc</t>
    <phoneticPr fontId="5" type="noConversion"/>
  </si>
  <si>
    <t>칼럼 접근시에는 칼럼명으로</t>
    <phoneticPr fontId="5" type="noConversion"/>
  </si>
  <si>
    <t>**대수학(Algebra)**은 수학의 한 분야로, 수와 기호를 사용하여 수학적 관계를 표현하고 조작하는 학문</t>
  </si>
  <si>
    <r>
      <t xml:space="preserve">선형대수는 </t>
    </r>
    <r>
      <rPr>
        <b/>
        <sz val="11"/>
        <color theme="1"/>
        <rFont val="맑은 고딕"/>
        <family val="3"/>
        <charset val="129"/>
        <scheme val="minor"/>
      </rPr>
      <t>벡터</t>
    </r>
    <r>
      <rPr>
        <sz val="11"/>
        <color theme="1"/>
        <rFont val="맑은 고딕"/>
        <family val="2"/>
        <scheme val="minor"/>
      </rPr>
      <t xml:space="preserve">와 </t>
    </r>
    <r>
      <rPr>
        <b/>
        <sz val="11"/>
        <color theme="1"/>
        <rFont val="맑은 고딕"/>
        <family val="3"/>
        <charset val="129"/>
        <scheme val="minor"/>
      </rPr>
      <t>행렬</t>
    </r>
    <r>
      <rPr>
        <sz val="11"/>
        <color theme="1"/>
        <rFont val="맑은 고딕"/>
        <family val="2"/>
        <scheme val="minor"/>
      </rPr>
      <t>을 중심으로 하는 수학의 한 분야입니다.</t>
    </r>
  </si>
  <si>
    <t>하지만 선형대수의 범위는 이 두 가지에 국한되지 않고, 여러 중요한 개념과 이론이 포함되어 있습니다. 다음은 선형대수의 주요 구성 요소입니다:</t>
  </si>
  <si>
    <t>개발환경</t>
    <phoneticPr fontId="5" type="noConversion"/>
  </si>
  <si>
    <t>아나콘다</t>
    <phoneticPr fontId="5" type="noConversion"/>
  </si>
  <si>
    <t>주피터노트북</t>
    <phoneticPr fontId="5" type="noConversion"/>
  </si>
  <si>
    <t>이클리스</t>
    <phoneticPr fontId="5" type="noConversion"/>
  </si>
  <si>
    <t>인텔리제이</t>
    <phoneticPr fontId="5" type="noConversion"/>
  </si>
  <si>
    <t>스프링, 스프링부트</t>
    <phoneticPr fontId="5" type="noConversion"/>
  </si>
  <si>
    <t>전자정부</t>
    <phoneticPr fontId="5" type="noConversion"/>
  </si>
  <si>
    <t>코랩</t>
    <phoneticPr fontId="5" type="noConversion"/>
  </si>
  <si>
    <t>+ 주피터노트북</t>
    <phoneticPr fontId="5" type="noConversion"/>
  </si>
  <si>
    <t>드라이브와 연동</t>
    <phoneticPr fontId="5" type="noConversion"/>
  </si>
  <si>
    <t>깃-깃허브</t>
    <phoneticPr fontId="5" type="noConversion"/>
  </si>
  <si>
    <t>소스트리</t>
    <phoneticPr fontId="5" type="noConversion"/>
  </si>
  <si>
    <t>비주얼스튜디오코드</t>
    <phoneticPr fontId="5" type="noConversion"/>
  </si>
  <si>
    <t>https://regex101.com/</t>
  </si>
  <si>
    <t>정규표현식</t>
    <phoneticPr fontId="5" type="noConversion"/>
  </si>
  <si>
    <t>b boolean | i signed integer | u unsigned integer | f floating-point | c complex floating-point | m timedelta | M datetime | O object | S (byte-)string | U Unicode | V void</t>
  </si>
  <si>
    <t>넘파이 자료형</t>
    <phoneticPr fontId="5" type="noConversion"/>
  </si>
  <si>
    <t>int</t>
    <phoneticPr fontId="5" type="noConversion"/>
  </si>
  <si>
    <t>정수</t>
    <phoneticPr fontId="5" type="noConversion"/>
  </si>
  <si>
    <t>bit</t>
    <phoneticPr fontId="5" type="noConversion"/>
  </si>
  <si>
    <t>usigned</t>
    <phoneticPr fontId="5" type="noConversion"/>
  </si>
  <si>
    <t>0~255</t>
    <phoneticPr fontId="5" type="noConversion"/>
  </si>
  <si>
    <t>R</t>
    <phoneticPr fontId="5" type="noConversion"/>
  </si>
  <si>
    <t>r-project</t>
    <phoneticPr fontId="5" type="noConversion"/>
  </si>
  <si>
    <t xml:space="preserve"> core</t>
    <phoneticPr fontId="5" type="noConversion"/>
  </si>
  <si>
    <t>rstudio</t>
    <phoneticPr fontId="5" type="noConversion"/>
  </si>
  <si>
    <t>파이썬 커널 - 파이썬 컴파일러</t>
  </si>
  <si>
    <t>C:\Users\USer\anaconda3\python.exe 설치 경로를 Path에 등록시킨 후</t>
  </si>
  <si>
    <t>cmd에서 .py 파일 실행 여부 확인</t>
  </si>
  <si>
    <t>비주얼스튜디오 설치 후 ipynb를 실행할 수 있도록 주피터 노트북 확장팩 설치</t>
  </si>
  <si>
    <t>help('예약어')는 특정 예약어에 대한 도움말</t>
  </si>
  <si>
    <t>x</t>
    <phoneticPr fontId="5" type="noConversion"/>
  </si>
  <si>
    <t>y=(1+x)^(1/x)</t>
    <phoneticPr fontId="5" type="noConversion"/>
  </si>
  <si>
    <t>넘파이 인덱싱</t>
    <phoneticPr fontId="5" type="noConversion"/>
  </si>
  <si>
    <t>0번축</t>
    <phoneticPr fontId="5" type="noConversion"/>
  </si>
  <si>
    <t>축(axis)</t>
  </si>
  <si>
    <t>1번축</t>
    <phoneticPr fontId="5" type="noConversion"/>
  </si>
  <si>
    <t>0,0</t>
    <phoneticPr fontId="5" type="noConversion"/>
  </si>
  <si>
    <t>0,1</t>
  </si>
  <si>
    <t>0,2</t>
  </si>
  <si>
    <t>1,1</t>
    <phoneticPr fontId="5" type="noConversion"/>
  </si>
  <si>
    <t>1,2</t>
    <phoneticPr fontId="5" type="noConversion"/>
  </si>
  <si>
    <t>2,0</t>
    <phoneticPr fontId="5" type="noConversion"/>
  </si>
  <si>
    <t>2,1</t>
    <phoneticPr fontId="5" type="noConversion"/>
  </si>
  <si>
    <t>2,2</t>
    <phoneticPr fontId="5" type="noConversion"/>
  </si>
  <si>
    <t>1,0</t>
    <phoneticPr fontId="5" type="noConversion"/>
  </si>
  <si>
    <t>양쪽에 (행, 열) 슬라이싱이 있으면 2차원</t>
    <phoneticPr fontId="5" type="noConversion"/>
  </si>
  <si>
    <t>한쪽에 (행, 열) 슬라이싱이 있으면 1차원</t>
    <phoneticPr fontId="5" type="noConversion"/>
  </si>
  <si>
    <t>2차원 배열[ 인덱싱, 슬라이싱(:) ]</t>
    <phoneticPr fontId="5" type="noConversion"/>
  </si>
  <si>
    <t>pandas 기초</t>
    <phoneticPr fontId="5" type="noConversion"/>
  </si>
  <si>
    <t>id</t>
    <phoneticPr fontId="5" type="noConversion"/>
  </si>
  <si>
    <t>이름</t>
    <phoneticPr fontId="5" type="noConversion"/>
  </si>
  <si>
    <t>홍일동</t>
    <phoneticPr fontId="5" type="noConversion"/>
  </si>
  <si>
    <t>홍이동</t>
    <phoneticPr fontId="5" type="noConversion"/>
  </si>
  <si>
    <t>홍삼동</t>
    <phoneticPr fontId="5" type="noConversion"/>
  </si>
  <si>
    <t>홍사동</t>
    <phoneticPr fontId="5" type="noConversion"/>
  </si>
  <si>
    <t>홍오동</t>
    <phoneticPr fontId="5" type="noConversion"/>
  </si>
  <si>
    <t>키</t>
    <phoneticPr fontId="5" type="noConversion"/>
  </si>
  <si>
    <t>몸무게</t>
    <phoneticPr fontId="5" type="noConversion"/>
  </si>
  <si>
    <t>성별</t>
    <phoneticPr fontId="5" type="noConversion"/>
  </si>
  <si>
    <t>남</t>
    <phoneticPr fontId="5" type="noConversion"/>
  </si>
  <si>
    <t>여</t>
    <phoneticPr fontId="5" type="noConversion"/>
  </si>
  <si>
    <t>여</t>
    <phoneticPr fontId="5" type="noConversion"/>
  </si>
  <si>
    <t>index는 loc나 iloc</t>
    <phoneticPr fontId="5" type="noConversion"/>
  </si>
  <si>
    <t>행 위치(location)</t>
    <phoneticPr fontId="5" type="noConversion"/>
  </si>
  <si>
    <t>가급적 헤더명 넣고, 인덱스 설정해라…</t>
    <phoneticPr fontId="5" type="noConversion"/>
  </si>
  <si>
    <t>시리즈에 사용자 정의 함수 적용시 무조건 람다 사용</t>
    <phoneticPr fontId="5" type="noConversion"/>
  </si>
  <si>
    <t>나이</t>
    <phoneticPr fontId="5" type="noConversion"/>
  </si>
  <si>
    <t>혈액형</t>
    <phoneticPr fontId="5" type="noConversion"/>
  </si>
  <si>
    <t>A</t>
    <phoneticPr fontId="5" type="noConversion"/>
  </si>
  <si>
    <t>O</t>
    <phoneticPr fontId="5" type="noConversion"/>
  </si>
  <si>
    <t>복원샘플표본</t>
    <phoneticPr fontId="5" type="noConversion"/>
  </si>
  <si>
    <t>판다스 중복 데이터 처리</t>
    <phoneticPr fontId="5" type="noConversion"/>
  </si>
  <si>
    <t>c1</t>
    <phoneticPr fontId="5" type="noConversion"/>
  </si>
  <si>
    <t>c2</t>
  </si>
  <si>
    <t>c3</t>
  </si>
  <si>
    <t>a</t>
    <phoneticPr fontId="5" type="noConversion"/>
  </si>
  <si>
    <t>b</t>
    <phoneticPr fontId="5" type="noConversion"/>
  </si>
  <si>
    <t>정규화</t>
    <phoneticPr fontId="5" type="noConversion"/>
  </si>
  <si>
    <t>0~1범위로</t>
    <phoneticPr fontId="5" type="noConversion"/>
  </si>
  <si>
    <t>표준화(z 변환)</t>
    <phoneticPr fontId="5" type="noConversion"/>
  </si>
  <si>
    <t>최대-최소</t>
    <phoneticPr fontId="5" type="noConversion"/>
  </si>
  <si>
    <t>최소</t>
    <phoneticPr fontId="5" type="noConversion"/>
  </si>
  <si>
    <t>평균</t>
    <phoneticPr fontId="5" type="noConversion"/>
  </si>
  <si>
    <t>표준편차</t>
    <phoneticPr fontId="5" type="noConversion"/>
  </si>
  <si>
    <r>
      <t xml:space="preserve">Pandas는 데이터프레임을 다루는 강력한 라이브러리로, 여러 데이터프레임을 병합하거나 바인딩할 수 있는 다양한 함수들을 제공합니다. 주로 사용하는 함수는 </t>
    </r>
    <r>
      <rPr>
        <sz val="10"/>
        <color theme="1"/>
        <rFont val="Arial Unicode MS"/>
        <family val="3"/>
        <charset val="129"/>
      </rPr>
      <t>merge()</t>
    </r>
    <r>
      <rPr>
        <sz val="11"/>
        <color theme="1"/>
        <rFont val="맑은 고딕"/>
        <family val="2"/>
        <scheme val="minor"/>
      </rPr>
      <t xml:space="preserve">, </t>
    </r>
    <r>
      <rPr>
        <sz val="10"/>
        <color theme="1"/>
        <rFont val="Arial Unicode MS"/>
        <family val="3"/>
        <charset val="129"/>
      </rPr>
      <t>join()</t>
    </r>
    <r>
      <rPr>
        <sz val="11"/>
        <color theme="1"/>
        <rFont val="맑은 고딕"/>
        <family val="2"/>
        <scheme val="minor"/>
      </rPr>
      <t xml:space="preserve">, 그리고 </t>
    </r>
    <r>
      <rPr>
        <sz val="10"/>
        <color theme="1"/>
        <rFont val="Arial Unicode MS"/>
        <family val="3"/>
        <charset val="129"/>
      </rPr>
      <t>concat()</t>
    </r>
    <r>
      <rPr>
        <sz val="11"/>
        <color theme="1"/>
        <rFont val="맑은 고딕"/>
        <family val="2"/>
        <scheme val="minor"/>
      </rPr>
      <t>입니다. 각각의 함수는 특정한 상황에 맞게 사용됩니다.</t>
    </r>
  </si>
  <si>
    <r>
      <t xml:space="preserve">1. </t>
    </r>
    <r>
      <rPr>
        <b/>
        <sz val="10"/>
        <color theme="1"/>
        <rFont val="Arial Unicode MS"/>
        <family val="3"/>
        <charset val="129"/>
      </rPr>
      <t>merge()</t>
    </r>
  </si>
  <si>
    <r>
      <t>설명</t>
    </r>
    <r>
      <rPr>
        <sz val="11"/>
        <color theme="1"/>
        <rFont val="맑은 고딕"/>
        <family val="2"/>
        <scheme val="minor"/>
      </rPr>
      <t>: SQL의 JOIN과 유사하게 두 데이터프레임을 특정 키를 기준으로 병합합니다.</t>
    </r>
  </si>
  <si>
    <r>
      <t>주요 매개변수</t>
    </r>
    <r>
      <rPr>
        <sz val="11"/>
        <color theme="1"/>
        <rFont val="맑은 고딕"/>
        <family val="2"/>
        <scheme val="minor"/>
      </rPr>
      <t>:</t>
    </r>
  </si>
  <si>
    <r>
      <t>left</t>
    </r>
    <r>
      <rPr>
        <sz val="11"/>
        <color theme="1"/>
        <rFont val="맑은 고딕"/>
        <family val="2"/>
        <scheme val="minor"/>
      </rPr>
      <t>: 첫 번째 데이터프레임</t>
    </r>
  </si>
  <si>
    <r>
      <t>right</t>
    </r>
    <r>
      <rPr>
        <sz val="11"/>
        <color theme="1"/>
        <rFont val="맑은 고딕"/>
        <family val="2"/>
        <scheme val="minor"/>
      </rPr>
      <t>: 두 번째 데이터프레임</t>
    </r>
  </si>
  <si>
    <r>
      <t>how</t>
    </r>
    <r>
      <rPr>
        <sz val="11"/>
        <color theme="1"/>
        <rFont val="맑은 고딕"/>
        <family val="2"/>
        <scheme val="minor"/>
      </rPr>
      <t>: 병합 방식 (</t>
    </r>
    <r>
      <rPr>
        <sz val="10"/>
        <color theme="1"/>
        <rFont val="Arial Unicode MS"/>
        <family val="3"/>
        <charset val="129"/>
      </rPr>
      <t>'inner'</t>
    </r>
    <r>
      <rPr>
        <sz val="11"/>
        <color theme="1"/>
        <rFont val="맑은 고딕"/>
        <family val="2"/>
        <scheme val="minor"/>
      </rPr>
      <t xml:space="preserve">, </t>
    </r>
    <r>
      <rPr>
        <sz val="10"/>
        <color theme="1"/>
        <rFont val="Arial Unicode MS"/>
        <family val="3"/>
        <charset val="129"/>
      </rPr>
      <t>'outer'</t>
    </r>
    <r>
      <rPr>
        <sz val="11"/>
        <color theme="1"/>
        <rFont val="맑은 고딕"/>
        <family val="2"/>
        <scheme val="minor"/>
      </rPr>
      <t xml:space="preserve">, </t>
    </r>
    <r>
      <rPr>
        <sz val="10"/>
        <color theme="1"/>
        <rFont val="Arial Unicode MS"/>
        <family val="3"/>
        <charset val="129"/>
      </rPr>
      <t>'left'</t>
    </r>
    <r>
      <rPr>
        <sz val="11"/>
        <color theme="1"/>
        <rFont val="맑은 고딕"/>
        <family val="2"/>
        <scheme val="minor"/>
      </rPr>
      <t xml:space="preserve">, </t>
    </r>
    <r>
      <rPr>
        <sz val="10"/>
        <color theme="1"/>
        <rFont val="Arial Unicode MS"/>
        <family val="3"/>
        <charset val="129"/>
      </rPr>
      <t>'right'</t>
    </r>
    <r>
      <rPr>
        <sz val="11"/>
        <color theme="1"/>
        <rFont val="맑은 고딕"/>
        <family val="2"/>
        <scheme val="minor"/>
      </rPr>
      <t>)</t>
    </r>
  </si>
  <si>
    <r>
      <t>on</t>
    </r>
    <r>
      <rPr>
        <sz val="11"/>
        <color theme="1"/>
        <rFont val="맑은 고딕"/>
        <family val="2"/>
        <scheme val="minor"/>
      </rPr>
      <t>: 병합할 키, 두 데이터프레임 모두에 존재하는 열</t>
    </r>
  </si>
  <si>
    <r>
      <t>left_on</t>
    </r>
    <r>
      <rPr>
        <sz val="11"/>
        <color theme="1"/>
        <rFont val="맑은 고딕"/>
        <family val="2"/>
        <scheme val="minor"/>
      </rPr>
      <t xml:space="preserve">, </t>
    </r>
    <r>
      <rPr>
        <sz val="10"/>
        <color theme="1"/>
        <rFont val="Arial Unicode MS"/>
        <family val="3"/>
        <charset val="129"/>
      </rPr>
      <t>right_on</t>
    </r>
    <r>
      <rPr>
        <sz val="11"/>
        <color theme="1"/>
        <rFont val="맑은 고딕"/>
        <family val="2"/>
        <scheme val="minor"/>
      </rPr>
      <t>: 각각의 데이터프레임에서 사용할 키</t>
    </r>
  </si>
  <si>
    <t>import pandas as pd</t>
  </si>
  <si>
    <t>df1 = pd.DataFrame({'key': ['A', 'B', 'C'], 'value1': [1, 2, 3]})</t>
  </si>
  <si>
    <t>df2 = pd.DataFrame({'key': ['B', 'C', 'D'], 'value2': [4, 5, 6]})</t>
  </si>
  <si>
    <t>result = pd.merge(df1, df2, on='key', how='inner')</t>
  </si>
  <si>
    <t>import pandas as pd</t>
    <phoneticPr fontId="5" type="noConversion"/>
  </si>
  <si>
    <r>
      <t>언제 사용하나요?</t>
    </r>
    <r>
      <rPr>
        <sz val="11"/>
        <color theme="1"/>
        <rFont val="맑은 고딕"/>
        <family val="2"/>
        <scheme val="minor"/>
      </rPr>
      <t>:</t>
    </r>
  </si>
  <si>
    <t>데이터프레임 간의 관계가 명확할 때, 특히 공통된 열을 기준으로 데이터를 조합해야 할 때 사용합니다.</t>
  </si>
  <si>
    <r>
      <t xml:space="preserve">2. </t>
    </r>
    <r>
      <rPr>
        <b/>
        <sz val="10"/>
        <color theme="1"/>
        <rFont val="Arial Unicode MS"/>
        <family val="3"/>
        <charset val="129"/>
      </rPr>
      <t>join()</t>
    </r>
  </si>
  <si>
    <r>
      <t>설명</t>
    </r>
    <r>
      <rPr>
        <sz val="11"/>
        <color theme="1"/>
        <rFont val="맑은 고딕"/>
        <family val="2"/>
        <scheme val="minor"/>
      </rPr>
      <t>: 주로 인덱스를 기준으로 두 데이터프레임을 결합합니다. 기본적으로 왼쪽 데이터프레임의 인덱스를 기준으로 오른쪽 데이터프레임과 결합합니다.</t>
    </r>
  </si>
  <si>
    <r>
      <t>other</t>
    </r>
    <r>
      <rPr>
        <sz val="11"/>
        <color theme="1"/>
        <rFont val="맑은 고딕"/>
        <family val="2"/>
        <scheme val="minor"/>
      </rPr>
      <t>: 결합할 데이터프레임</t>
    </r>
  </si>
  <si>
    <r>
      <t>how</t>
    </r>
    <r>
      <rPr>
        <sz val="11"/>
        <color theme="1"/>
        <rFont val="맑은 고딕"/>
        <family val="2"/>
        <scheme val="minor"/>
      </rPr>
      <t>: 결합 방식 (</t>
    </r>
    <r>
      <rPr>
        <sz val="10"/>
        <color theme="1"/>
        <rFont val="Arial Unicode MS"/>
        <family val="3"/>
        <charset val="129"/>
      </rPr>
      <t>'left'</t>
    </r>
    <r>
      <rPr>
        <sz val="11"/>
        <color theme="1"/>
        <rFont val="맑은 고딕"/>
        <family val="2"/>
        <scheme val="minor"/>
      </rPr>
      <t xml:space="preserve">, </t>
    </r>
    <r>
      <rPr>
        <sz val="10"/>
        <color theme="1"/>
        <rFont val="Arial Unicode MS"/>
        <family val="3"/>
        <charset val="129"/>
      </rPr>
      <t>'right'</t>
    </r>
    <r>
      <rPr>
        <sz val="11"/>
        <color theme="1"/>
        <rFont val="맑은 고딕"/>
        <family val="2"/>
        <scheme val="minor"/>
      </rPr>
      <t xml:space="preserve">, </t>
    </r>
    <r>
      <rPr>
        <sz val="10"/>
        <color theme="1"/>
        <rFont val="Arial Unicode MS"/>
        <family val="3"/>
        <charset val="129"/>
      </rPr>
      <t>'outer'</t>
    </r>
    <r>
      <rPr>
        <sz val="11"/>
        <color theme="1"/>
        <rFont val="맑은 고딕"/>
        <family val="2"/>
        <scheme val="minor"/>
      </rPr>
      <t xml:space="preserve">, </t>
    </r>
    <r>
      <rPr>
        <sz val="10"/>
        <color theme="1"/>
        <rFont val="Arial Unicode MS"/>
        <family val="3"/>
        <charset val="129"/>
      </rPr>
      <t>'inner'</t>
    </r>
    <r>
      <rPr>
        <sz val="11"/>
        <color theme="1"/>
        <rFont val="맑은 고딕"/>
        <family val="2"/>
        <scheme val="minor"/>
      </rPr>
      <t>)</t>
    </r>
  </si>
  <si>
    <r>
      <t>lsuffix</t>
    </r>
    <r>
      <rPr>
        <sz val="11"/>
        <color theme="1"/>
        <rFont val="맑은 고딕"/>
        <family val="2"/>
        <scheme val="minor"/>
      </rPr>
      <t xml:space="preserve">, </t>
    </r>
    <r>
      <rPr>
        <sz val="10"/>
        <color theme="1"/>
        <rFont val="Arial Unicode MS"/>
        <family val="3"/>
        <charset val="129"/>
      </rPr>
      <t>rsuffix</t>
    </r>
    <r>
      <rPr>
        <sz val="11"/>
        <color theme="1"/>
        <rFont val="맑은 고딕"/>
        <family val="2"/>
        <scheme val="minor"/>
      </rPr>
      <t>: 중복된 열 이름을 구분하기 위한 접미사</t>
    </r>
  </si>
  <si>
    <t>df1 = pd.DataFrame({'value1': [1, 2]}, index=['A', 'B'])</t>
  </si>
  <si>
    <t>df2 = pd.DataFrame({'value2': [3, 4]}, index=['B', 'C'])</t>
  </si>
  <si>
    <t>result = df1.join(df2, how='outer')</t>
  </si>
  <si>
    <t>데이터프레임의 인덱스를 기준으로 결합할 때 사용합니다. 특히 시간 시계열 데이터 등 인덱스 기반의 결합에 유용합니</t>
  </si>
  <si>
    <r>
      <t xml:space="preserve">3. </t>
    </r>
    <r>
      <rPr>
        <b/>
        <sz val="10"/>
        <color theme="1"/>
        <rFont val="Arial Unicode MS"/>
        <family val="3"/>
        <charset val="129"/>
      </rPr>
      <t>concat()</t>
    </r>
  </si>
  <si>
    <r>
      <t>설명</t>
    </r>
    <r>
      <rPr>
        <sz val="11"/>
        <color theme="1"/>
        <rFont val="맑은 고딕"/>
        <family val="2"/>
        <scheme val="minor"/>
      </rPr>
      <t>: 여러 데이터프레임을 단순히 연결합니다. 수직 또는 수평으로 연결할 수 있습니다.</t>
    </r>
  </si>
  <si>
    <r>
      <t>objs</t>
    </r>
    <r>
      <rPr>
        <sz val="11"/>
        <color theme="1"/>
        <rFont val="맑은 고딕"/>
        <family val="2"/>
        <scheme val="minor"/>
      </rPr>
      <t>: 연결할 데이터프레임의 리스트</t>
    </r>
  </si>
  <si>
    <r>
      <t>axis</t>
    </r>
    <r>
      <rPr>
        <sz val="11"/>
        <color theme="1"/>
        <rFont val="맑은 고딕"/>
        <family val="2"/>
        <scheme val="minor"/>
      </rPr>
      <t>: 연결 방향 (</t>
    </r>
    <r>
      <rPr>
        <sz val="10"/>
        <color theme="1"/>
        <rFont val="Arial Unicode MS"/>
        <family val="3"/>
        <charset val="129"/>
      </rPr>
      <t>0</t>
    </r>
    <r>
      <rPr>
        <sz val="11"/>
        <color theme="1"/>
        <rFont val="맑은 고딕"/>
        <family val="2"/>
        <scheme val="minor"/>
      </rPr>
      <t xml:space="preserve">은 수직, </t>
    </r>
    <r>
      <rPr>
        <sz val="10"/>
        <color theme="1"/>
        <rFont val="Arial Unicode MS"/>
        <family val="3"/>
        <charset val="129"/>
      </rPr>
      <t>1</t>
    </r>
    <r>
      <rPr>
        <sz val="11"/>
        <color theme="1"/>
        <rFont val="맑은 고딕"/>
        <family val="2"/>
        <scheme val="minor"/>
      </rPr>
      <t>은 수평)</t>
    </r>
  </si>
  <si>
    <r>
      <t>join</t>
    </r>
    <r>
      <rPr>
        <sz val="11"/>
        <color theme="1"/>
        <rFont val="맑은 고딕"/>
        <family val="2"/>
        <scheme val="minor"/>
      </rPr>
      <t xml:space="preserve">: </t>
    </r>
    <r>
      <rPr>
        <sz val="10"/>
        <color theme="1"/>
        <rFont val="Arial Unicode MS"/>
        <family val="3"/>
        <charset val="129"/>
      </rPr>
      <t>'outer'</t>
    </r>
    <r>
      <rPr>
        <sz val="11"/>
        <color theme="1"/>
        <rFont val="맑은 고딕"/>
        <family val="2"/>
        <scheme val="minor"/>
      </rPr>
      <t xml:space="preserve"> 또는 </t>
    </r>
    <r>
      <rPr>
        <sz val="10"/>
        <color theme="1"/>
        <rFont val="Arial Unicode MS"/>
        <family val="3"/>
        <charset val="129"/>
      </rPr>
      <t>'inner'</t>
    </r>
    <r>
      <rPr>
        <sz val="11"/>
        <color theme="1"/>
        <rFont val="맑은 고딕"/>
        <family val="2"/>
        <scheme val="minor"/>
      </rPr>
      <t>로 열을 조정</t>
    </r>
  </si>
  <si>
    <r>
      <t>ignore_index</t>
    </r>
    <r>
      <rPr>
        <sz val="11"/>
        <color theme="1"/>
        <rFont val="맑은 고딕"/>
        <family val="2"/>
        <scheme val="minor"/>
      </rPr>
      <t>: 새로운 인덱스를 생성할지 여부</t>
    </r>
  </si>
  <si>
    <t>df1 = pd.DataFrame({'A': [1, 2]})</t>
  </si>
  <si>
    <t>df2 = pd.DataFrame({'A': [3, 4]})</t>
  </si>
  <si>
    <t>result = pd.concat([df1, df2], axis=0, ignore_index=True)</t>
  </si>
  <si>
    <t>동일한 열 이름을 가진 데이터프레임을 수직으로 쌓거나, 동일한 인덱스를 가진 데이터프레임을 수평으로 결합할 때 사용합니다.</t>
  </si>
  <si>
    <t xml:space="preserve">데이터 요약하고, 필터링하기 위해서 집계함수(sum. Average, min. max, count) 적용  </t>
    <phoneticPr fontId="5" type="noConversion"/>
  </si>
  <si>
    <t>aggregation 함수 이용시 사용자 정의 함수를 적용(apply)</t>
    <phoneticPr fontId="5" type="noConversion"/>
  </si>
  <si>
    <t>. 함수 적용 (Aggregation)</t>
  </si>
  <si>
    <r>
      <t>상황</t>
    </r>
    <r>
      <rPr>
        <sz val="11"/>
        <color theme="1"/>
        <rFont val="맑은 고딕"/>
        <family val="2"/>
        <scheme val="minor"/>
      </rPr>
      <t>: 판매 데이터에서 각 제품별 총 판매량을 구하고 싶을 때</t>
    </r>
  </si>
  <si>
    <t># 예시 데이터프레임</t>
  </si>
  <si>
    <t>data = {</t>
  </si>
  <si>
    <t xml:space="preserve">    '제품': ['A'</t>
  </si>
  <si>
    <t xml:space="preserve"> 'B'</t>
  </si>
  <si>
    <t xml:space="preserve"> 'A'</t>
  </si>
  <si>
    <t xml:space="preserve"> 'C']</t>
  </si>
  <si>
    <t xml:space="preserve">    '판매량': [10</t>
  </si>
  <si>
    <t xml:space="preserve"> 25]</t>
  </si>
  <si>
    <t>}</t>
  </si>
  <si>
    <t>df = pd.DataFrame(data)</t>
  </si>
  <si>
    <t># 제품별 총 판매량 계산</t>
  </si>
  <si>
    <t>summary = df.groupby('제품')['판매량'].sum().reset_index()</t>
  </si>
  <si>
    <t>print(summary)</t>
  </si>
  <si>
    <r>
      <t xml:space="preserve">함수 적용은 데이터프레임의 특정 열에 대해 지정된 함수를 적용하여 요약 통계를 생성하는 방식입니다. 주로 </t>
    </r>
    <r>
      <rPr>
        <sz val="10"/>
        <color rgb="FFFF0000"/>
        <rFont val="Arial Unicode MS"/>
        <family val="3"/>
        <charset val="129"/>
      </rPr>
      <t>groupby</t>
    </r>
    <r>
      <rPr>
        <sz val="10"/>
        <color theme="1"/>
        <rFont val="Arial Unicode MS"/>
        <family val="3"/>
        <charset val="129"/>
      </rPr>
      <t>()</t>
    </r>
    <r>
      <rPr>
        <sz val="11"/>
        <color theme="1"/>
        <rFont val="맑은 고딕"/>
        <family val="2"/>
        <scheme val="minor"/>
      </rPr>
      <t>와 함께 사용됩니다.</t>
    </r>
    <phoneticPr fontId="5" type="noConversion"/>
  </si>
  <si>
    <t>2. 피벗 테이블 (Pivot Table)</t>
  </si>
  <si>
    <r>
      <t xml:space="preserve">피벗 테이블은 더 복잡한 데이터 요약을 가능하게 하며, 여러 열을 기준으로 데이터를 집계할 수 있습니다. </t>
    </r>
    <r>
      <rPr>
        <sz val="10"/>
        <color theme="1"/>
        <rFont val="Arial Unicode MS"/>
        <family val="3"/>
        <charset val="129"/>
      </rPr>
      <t>pivot_table()</t>
    </r>
    <r>
      <rPr>
        <sz val="11"/>
        <color theme="1"/>
        <rFont val="맑은 고딕"/>
        <family val="2"/>
        <scheme val="minor"/>
      </rPr>
      <t xml:space="preserve"> 메서드를 사용합니다.</t>
    </r>
  </si>
  <si>
    <t xml:space="preserve"> 'C'</t>
  </si>
  <si>
    <t xml:space="preserve"> 'B']</t>
  </si>
  <si>
    <t xml:space="preserve">    '월': ['1월'</t>
  </si>
  <si>
    <t xml:space="preserve"> '1월'</t>
  </si>
  <si>
    <t xml:space="preserve"> '2월'</t>
  </si>
  <si>
    <t xml:space="preserve"> '2월']</t>
  </si>
  <si>
    <t xml:space="preserve"> 10]</t>
  </si>
  <si>
    <t># 피벗 테이블 생성</t>
  </si>
  <si>
    <t>pivot_table = df.pivot_table(values='판매량'</t>
  </si>
  <si>
    <t xml:space="preserve"> index='제품'</t>
  </si>
  <si>
    <t xml:space="preserve"> columns='월'</t>
  </si>
  <si>
    <t xml:space="preserve"> aggfunc='mean'</t>
  </si>
  <si>
    <t xml:space="preserve"> fill_value=0)</t>
  </si>
  <si>
    <t>print(pivot_table)</t>
  </si>
  <si>
    <t>모분산</t>
    <phoneticPr fontId="5" type="noConversion"/>
  </si>
  <si>
    <t>표본분산</t>
    <phoneticPr fontId="5" type="noConversion"/>
  </si>
  <si>
    <t>np.var(height, ddof=0)</t>
    <phoneticPr fontId="5" type="noConversion"/>
  </si>
  <si>
    <t>np.var(height, ddof=1)</t>
  </si>
  <si>
    <t>N</t>
    <phoneticPr fontId="5" type="noConversion"/>
  </si>
  <si>
    <t>N-1</t>
    <phoneticPr fontId="5" type="noConversion"/>
  </si>
  <si>
    <t>편향되지 않은(불편) 분산</t>
    <phoneticPr fontId="5" type="noConversion"/>
  </si>
  <si>
    <t>편향된(biased) 샘플 분산</t>
    <phoneticPr fontId="5" type="noConversion"/>
  </si>
  <si>
    <t>대치는 복원(replacement) 추출</t>
  </si>
  <si>
    <t>bagging : boot strap + aggregating</t>
  </si>
  <si>
    <r>
      <t>Bagging</t>
    </r>
    <r>
      <rPr>
        <sz val="11"/>
        <color rgb="FF000000"/>
        <rFont val="Arial"/>
        <family val="2"/>
      </rPr>
      <t xml:space="preserve">은 </t>
    </r>
    <r>
      <rPr>
        <b/>
        <sz val="11"/>
        <color rgb="FF000000"/>
        <rFont val="Arial"/>
        <family val="2"/>
      </rPr>
      <t>Bootstrap Aggregating</t>
    </r>
    <r>
      <rPr>
        <sz val="11"/>
        <color rgb="FF000000"/>
        <rFont val="Arial"/>
        <family val="2"/>
      </rPr>
      <t>의 약어로, 머신러닝에서 모델의 성능을 향상시키기 위해 사용되는 앙상블 기법입니다. 각각의 구성 요소에 대해 자세히 설명하겠습니다.</t>
    </r>
  </si>
  <si>
    <t>1. Bootstrap</t>
  </si>
  <si>
    <r>
      <t>어원</t>
    </r>
    <r>
      <rPr>
        <sz val="11"/>
        <color rgb="FF000000"/>
        <rFont val="Arial"/>
        <family val="2"/>
      </rPr>
      <t>: "Bootstrap"이라는 용어는 "자신의 부츠 스트랩을 당겨서 일어나는 것"에서 유래되었습니다. 이는 스스로 도움을 받아 상황을 개선하는 것을 의미합니다. 통계에서 "부트스트랩" 방법은 주어진 데이터로부터 여러 개의 샘플을 무작위로 추출하여 반복적으로 통계적 추정을 수행하는 기법을 말합니다.</t>
    </r>
  </si>
  <si>
    <r>
      <t>설명</t>
    </r>
    <r>
      <rPr>
        <sz val="11"/>
        <color rgb="FF000000"/>
        <rFont val="Arial"/>
        <family val="2"/>
      </rPr>
      <t>: 부트스트랩 샘플링은 원본 데이터셋에서 중복을 허용하여 랜덤하게 샘플을 추출하는 방법입니다. 이 과정을 통해 여러 개의 서로 다른 데이터셋을 생성할 수 있습니다. 각 샘플은 원본 데이터의 통계적 특성을 보존합니다.</t>
    </r>
  </si>
  <si>
    <t>2. Aggregating</t>
  </si>
  <si>
    <r>
      <t>어원</t>
    </r>
    <r>
      <rPr>
        <sz val="11"/>
        <color rgb="FF000000"/>
        <rFont val="Arial"/>
        <family val="2"/>
      </rPr>
      <t>: "Aggregate"는 라틴어 "aggregare"에서 유래했으며, "합치다"라는 의미를 가지고 있습니다. 이는 여러 개체나 데이터를 하나로 모으는 과정을 나타냅니다.</t>
    </r>
  </si>
  <si>
    <r>
      <t>설명</t>
    </r>
    <r>
      <rPr>
        <sz val="11"/>
        <color rgb="FF000000"/>
        <rFont val="Arial"/>
        <family val="2"/>
      </rPr>
      <t>: Aggregating은 여러 모델의 예측 결과를 결합하여 최종 예측을 만드는 과정을 의미합니다. 일반적으로 평균, 투표, 또는 가중 평균 등의 방법을 사용하여 결과를 합칩니다.</t>
    </r>
  </si>
  <si>
    <t>3. Bagging</t>
  </si>
  <si>
    <t>Bagging은 이러한 두 가지 개념을 결합하여 여러 개의 모델을 학습시키고 그 결과를 통합함으로써 모델의 성능을 향상시키는 방법입니다.</t>
  </si>
  <si>
    <r>
      <t>과정</t>
    </r>
    <r>
      <rPr>
        <sz val="11"/>
        <color rgb="FF000000"/>
        <rFont val="Arial"/>
        <family val="2"/>
      </rPr>
      <t>:</t>
    </r>
  </si>
  <si>
    <t>1. 원본 데이터셋에서 여러 개의 부트스트랩 샘플을 생성합니다.</t>
  </si>
  <si>
    <t>2. 각 샘플에 대해 독립적으로 모델을 학습시킵니다.</t>
  </si>
  <si>
    <t>3. 각 모델의 예측 결과를 집계하여 최종 예측을 만듭니다.</t>
  </si>
  <si>
    <t>이 방법은 과적합을 줄이고, 모델의 안정성을 높이는 데 효과적입니다.</t>
  </si>
  <si>
    <t>4. 랜덤 포레스트</t>
  </si>
  <si>
    <t>랜덤 포레스트는 Bagging 기법을 기반으로 한 앙상블 학습 알고리즘 중 하나입니다.</t>
  </si>
  <si>
    <r>
      <t>구성</t>
    </r>
    <r>
      <rPr>
        <sz val="11"/>
        <color rgb="FF000000"/>
        <rFont val="Arial"/>
        <family val="2"/>
      </rPr>
      <t>:</t>
    </r>
  </si>
  <si>
    <t>여러 개의 결정 트리를 생성하고, 각 트리는 부트스트랩 샘플을 사용하여 학습합니다.</t>
  </si>
  <si>
    <t>각 트리를 학습할 때, 노드 분할 과정에서 무작위로 선택된 특성의 일부만을 사용합니다. 이는 트리 간의 상관관계를 줄이는 데 도움이 됩니다.</t>
  </si>
  <si>
    <r>
      <t>장점</t>
    </r>
    <r>
      <rPr>
        <sz val="11"/>
        <color rgb="FF000000"/>
        <rFont val="Arial"/>
        <family val="2"/>
      </rPr>
      <t>:</t>
    </r>
  </si>
  <si>
    <r>
      <t>과적합 방지</t>
    </r>
    <r>
      <rPr>
        <sz val="11"/>
        <color rgb="FF000000"/>
        <rFont val="Arial"/>
        <family val="2"/>
      </rPr>
      <t>: 여러 트리를 결합함으로써 모델의 일반화 능력이 향상됩니다.</t>
    </r>
  </si>
  <si>
    <r>
      <t>안정성</t>
    </r>
    <r>
      <rPr>
        <sz val="11"/>
        <color rgb="FF000000"/>
        <rFont val="Arial"/>
        <family val="2"/>
      </rPr>
      <t>: 개별 트리가 불안정한 경우에도, 많은 트리의 평균을 내면 안정적인 예측 결과를 얻을 수 있습니다.</t>
    </r>
  </si>
  <si>
    <r>
      <t>다양성</t>
    </r>
    <r>
      <rPr>
        <sz val="11"/>
        <color rgb="FF000000"/>
        <rFont val="Arial"/>
        <family val="2"/>
      </rPr>
      <t>: 각 트리가 서로 다른 샘플과 특성을 사용하므로, 다양한 관점에서 문제를 해결합니다.</t>
    </r>
  </si>
  <si>
    <r>
      <t>Bagging</t>
    </r>
    <r>
      <rPr>
        <sz val="11"/>
        <color rgb="FF000000"/>
        <rFont val="Arial"/>
        <family val="2"/>
      </rPr>
      <t>: 부트스트랩 샘플링과 집계를 결합하여 모델의 성능을 향상시키는 기법.</t>
    </r>
  </si>
  <si>
    <r>
      <t>Bootstrap</t>
    </r>
    <r>
      <rPr>
        <sz val="11"/>
        <color rgb="FF000000"/>
        <rFont val="Arial"/>
        <family val="2"/>
      </rPr>
      <t>: 원본 데이터에서 중복을 허용하여 샘플을 추출하는 방법.</t>
    </r>
  </si>
  <si>
    <r>
      <t>Aggregating</t>
    </r>
    <r>
      <rPr>
        <sz val="11"/>
        <color rgb="FF000000"/>
        <rFont val="Arial"/>
        <family val="2"/>
      </rPr>
      <t>: 여러 모델의 예측을 결합하는 과정.</t>
    </r>
  </si>
  <si>
    <r>
      <t>랜덤 포레스트</t>
    </r>
    <r>
      <rPr>
        <sz val="11"/>
        <color rgb="FF000000"/>
        <rFont val="Arial"/>
        <family val="2"/>
      </rPr>
      <t>: Bagging을 기반으로 하는 앙상블 학습 알고리즘으로, 여러 결정 트리를 결합하여 안정적이고 강력한 예측 성능을 제공합니다.</t>
    </r>
  </si>
  <si>
    <t>"Bootstrap"이라는 용어에서 "부츠 스트랩"은 신발의 끈을 의미합니다. 여기서 "부츠"는 부츠(신발)이고, "스트랩"은 끈이나 고리를 나타냅니다.</t>
  </si>
  <si>
    <t>어원 설명</t>
  </si>
  <si>
    <r>
      <t>"Bootstrapping"</t>
    </r>
    <r>
      <rPr>
        <sz val="11"/>
        <color rgb="FF000000"/>
        <rFont val="Arial"/>
        <family val="2"/>
      </rPr>
      <t>: 이 용어는 원래 "부츠의 스트랩을 당겨서 일어나다"는 의미에서 유래되었습니다. 즉, 어떤 사람이 자신의 부츠 끈을 당겨서 스스로 일어나는 이미지를 떠올리게 합니다. 이는 스스로 자립하여 문제를 해결하거나 상황을 개선하는 것을 비유적으로 표현한 것입니다.</t>
    </r>
  </si>
  <si>
    <t>통계적 의미</t>
  </si>
  <si>
    <r>
      <t xml:space="preserve">통계에서 </t>
    </r>
    <r>
      <rPr>
        <b/>
        <sz val="11"/>
        <color rgb="FF000000"/>
        <rFont val="Arial"/>
        <family val="2"/>
      </rPr>
      <t>부트스트랩 방법</t>
    </r>
    <r>
      <rPr>
        <sz val="11"/>
        <color rgb="FF000000"/>
        <rFont val="Arial"/>
        <family val="2"/>
      </rPr>
      <t>은 기존의 데이터를 사용하여 여러 개의 샘플을 무작위로 생성하고, 이를 통해 통계적 추정을 하는 기법을 가리킵니다. 이는 주어진 데이터에서 스스로 샘플을 생성하여 분석을 수행하는 것이기 때문에 "자기 힘으로" 상황을 개선하는 것과 연결됩니다.</t>
    </r>
  </si>
  <si>
    <t>이러한 비유적 의미는 통계학에서의 부트스트랩 방법이 데이터를 통해 스스로 정보를 추론하고 예측하는 과정과 잘 어울립니다.</t>
  </si>
  <si>
    <t>중앙값</t>
    <phoneticPr fontId="5" type="noConversion"/>
  </si>
  <si>
    <t>x1</t>
    <phoneticPr fontId="5" type="noConversion"/>
  </si>
  <si>
    <t>x4</t>
  </si>
  <si>
    <t>y_test</t>
    <phoneticPr fontId="5" type="noConversion"/>
  </si>
  <si>
    <t>G:\내 드라이브\ex\py\statBase\part 03</t>
  </si>
  <si>
    <t>이후는 파이썬 데이터 과학 통계학습 pdf 참조</t>
  </si>
  <si>
    <t>훈련 세트(training set)와 테스트 세트(test set)의 적절한 비율</t>
  </si>
  <si>
    <t>머신러닝 모델의 성능과 일반화 능력을 최적화하기 위해서는 훈련 세트(training set)와 테스트 세트(test set)의 적절한 비율을 정하는 것이 중요합니다. 일반적으로 사용되는 비율은 다음과 같습니다:</t>
  </si>
  <si>
    <t>일반적인 분할 비율:</t>
  </si>
  <si>
    <t>80/20 분할: 데이터의 80%를 훈련 세트로, 20%를 테스트 세트로 사용하는 비율이 가장 널리 사용됩니다. 이는 데이터가 충분히 많을 때 모델이 다양한 패턴을 학습할 수 있게 하면서도, 
테스트 세트에서 모델의 일반화 성능을 평가할 수 있는 적절한 크기를 보장합니다.</t>
  </si>
  <si>
    <t>70/30 분할: 데이터의 70%를 훈련 세트로, 30%를 테스트 세트로 사용하는 경우도 많습니다. 이는 특히 데이터셋이 크지 않을 때 모델 평가의 신뢰성을 높이는 데 유리할 수 있습니다.</t>
  </si>
  <si>
    <t>90/10 분할: 데이터가 매우 많을 때 사용하는 비율입니다. 
훈련 데이터가 많으면 모델이 더 잘 학습할 수 있으며, 테스트 데이터가 상대적으로 적어도 평가가 충분히 신뢰할 수 있습니다.</t>
  </si>
  <si>
    <t>교차 검증:</t>
  </si>
  <si>
    <t>K-폴드 : 데이터셋을 K개의 폴드(fold)로 나누어 각각의 폴드를 테스트 세트로 사용하고 나머지 폴드를 훈련 세트로 사용하는 방식입니다. 이 방법은 모델의 일반화 성능을 더 신뢰성 있게 평가할 수 있게 해줍니다.</t>
  </si>
  <si>
    <t>Stratified K-폴드 교차 검증: 클래스 불균형이 있는 경우, 각 폴드가 원래 데이터셋의 클래스 비율을 유지하도록 하는 방법입니다.</t>
  </si>
  <si>
    <t>데이터셋 크기와 특성에 따른 조정:</t>
  </si>
  <si>
    <t>작은 데이터셋: 데이터셋이 매우 작은 경우, 더 많은 데이터를 훈련 세트로 사용해야 할 수 있습니다. 예를 들어, 90/10 비율 또는 K-폴드 교차 검증을 사용하는 것이 좋습니다.</t>
  </si>
  <si>
    <t>큰 데이터셋: 데이터셋이 매우 큰 경우, 70/30 또는 80/20 비율이 적절하며, 경우에 따라서는 테스트 세트의 크기를 줄여도 충분한 평가가 가능합니다.</t>
  </si>
  <si>
    <t>훈련 세트와 테스트 세트의 비율을 결정할 때는 모델의 복잡도, 데이터셋의 크기와 특성, 그리고 클래스 불균형 여부 등을 고려하는 것이 중요합니다. 최종적으로는 여러 비율을 시도해보고 모델의 성능과 일반화 능력을 비교 평가하여 최적의 비율을 찾는 것이 가장 바람직합니다.</t>
  </si>
  <si>
    <t>사이킷런에서는 문자열로 된 타겟값(예: 문자열 레이블)을 그대로 사용할 수 있습니다. 하지만 원-핫 인코딩을 사용하는 것이 유용한 경우도 있습니다. 다음은 그 이유를 설명합니다.</t>
  </si>
  <si>
    <t>문자열 타겟값 사용</t>
  </si>
  <si>
    <r>
      <t>가능:</t>
    </r>
    <r>
      <rPr>
        <sz val="11"/>
        <color theme="1"/>
        <rFont val="맑은 고딕"/>
        <family val="2"/>
        <scheme val="minor"/>
      </rPr>
      <t xml:space="preserve"> 사이킷런의 많은 모델(예: </t>
    </r>
    <r>
      <rPr>
        <sz val="10"/>
        <color theme="1"/>
        <rFont val="Arial Unicode MS"/>
        <family val="3"/>
        <charset val="129"/>
      </rPr>
      <t>LogisticRegression</t>
    </r>
    <r>
      <rPr>
        <sz val="11"/>
        <color theme="1"/>
        <rFont val="맑은 고딕"/>
        <family val="2"/>
        <scheme val="minor"/>
      </rPr>
      <t xml:space="preserve">, </t>
    </r>
    <r>
      <rPr>
        <sz val="10"/>
        <color theme="1"/>
        <rFont val="Arial Unicode MS"/>
        <family val="3"/>
        <charset val="129"/>
      </rPr>
      <t>RandomForestClassifier</t>
    </r>
    <r>
      <rPr>
        <sz val="11"/>
        <color theme="1"/>
        <rFont val="맑은 고딕"/>
        <family val="2"/>
        <scheme val="minor"/>
      </rPr>
      <t>)은 문자열 레이블을 자동으로 처리할 수 있어, 레이블 인코딩 없이도 모델을 훈련하고 예측할 수 있습니다.</t>
    </r>
  </si>
  <si>
    <t>원-핫 인코딩을 사용하는 이유</t>
  </si>
  <si>
    <t>1. 모델의 해석 용이성:</t>
  </si>
  <si>
    <r>
      <t xml:space="preserve">원-핫 인코딩은 각 범주를 이진 벡터로 변환하여, 모델이 범주 간의 관계를 명확하게 이해하도록 돕습니다. 예를 들어, '사과', '바나나', '포도'를 각각 </t>
    </r>
    <r>
      <rPr>
        <sz val="10"/>
        <color theme="1"/>
        <rFont val="Arial Unicode MS"/>
        <family val="3"/>
        <charset val="129"/>
      </rPr>
      <t>[1, 0, 0]</t>
    </r>
    <r>
      <rPr>
        <sz val="11"/>
        <color theme="1"/>
        <rFont val="맑은 고딕"/>
        <family val="2"/>
        <scheme val="minor"/>
      </rPr>
      <t xml:space="preserve">, </t>
    </r>
    <r>
      <rPr>
        <sz val="10"/>
        <color theme="1"/>
        <rFont val="Arial Unicode MS"/>
        <family val="3"/>
        <charset val="129"/>
      </rPr>
      <t>[0, 1, 0]</t>
    </r>
    <r>
      <rPr>
        <sz val="11"/>
        <color theme="1"/>
        <rFont val="맑은 고딕"/>
        <family val="2"/>
        <scheme val="minor"/>
      </rPr>
      <t xml:space="preserve">, </t>
    </r>
    <r>
      <rPr>
        <sz val="10"/>
        <color theme="1"/>
        <rFont val="Arial Unicode MS"/>
        <family val="3"/>
        <charset val="129"/>
      </rPr>
      <t>[0, 0, 1]</t>
    </r>
    <r>
      <rPr>
        <sz val="11"/>
        <color theme="1"/>
        <rFont val="맑은 고딕"/>
        <family val="2"/>
        <scheme val="minor"/>
      </rPr>
      <t>로 표현합니다.</t>
    </r>
  </si>
  <si>
    <t>2. 모델의 성능 향상:</t>
  </si>
  <si>
    <t>일부 알고리즘은 원-핫 인코딩된 데이터를 사용했을 때 더 나은 성능을 보일 수 있습니다. 특히, 선형 모델이나 신경망에서는 범주 간의 순서나 관계가 명확하지 않을 때 원-핫 인코딩이 효과적입니다.</t>
  </si>
  <si>
    <t>3. 순서 왜곡 방지:</t>
  </si>
  <si>
    <t>레이블 인코딩을 사용하면, 모델이 범주형 변수를 수치형으로 해석하면서 자연스럽게 순서를 부여하게 됩니다. 예를 들어, '사과' = 0, '바나나' = 1, '포도' = 2로 인코딩하면, 모델이 '바나나'가 '사과'보다 더 큰 값을 가짐을 잘못 해석할 수 있습니다. 원-핫 인코딩은 이러한 문제를 방지합니다.</t>
  </si>
  <si>
    <t>결론</t>
  </si>
  <si>
    <t>문자열 타겟값을 그대로 사용할 수는 있지만, 모델의 종류와 데이터의 특성에 따라 원-핫 인코딩을 사용하는 것이 더 효과적일 수 있습니다. 따라서, 데이터와 모델에 맞는 인코딩 방법을 선택하는 것이 중요합니다.</t>
  </si>
  <si>
    <t>TPR</t>
    <phoneticPr fontId="5" type="noConversion"/>
  </si>
  <si>
    <t xml:space="preserve"> FPR(1-특이도)</t>
    <phoneticPr fontId="5" type="noConversion"/>
  </si>
  <si>
    <t>SVM(서포트 벡터 머신)과 의사결정나무(Decision Tree)</t>
    <phoneticPr fontId="5" type="noConversion"/>
  </si>
  <si>
    <t>SVM (서포트 벡터 머신)</t>
  </si>
  <si>
    <t>고차원 데이터에서 효과적이며, 특히 선형 분리가 가능한 경우에 잘 작동합니다.</t>
  </si>
  <si>
    <t>커널 트릭을 사용하여 비선형 분류 문제도 해결할 수 있습니다.</t>
  </si>
  <si>
    <t>과적합에 대한 저항력이 있어 적은 샘플에서도 좋은 성능을 보일 수 있습니다.</t>
  </si>
  <si>
    <t>대규모 데이터셋에서는 계산 비용이 높은 편입니다.</t>
  </si>
  <si>
    <t>하이퍼파라미터 조정이 필요하며, 최적의 커널과 매개변수를 찾는 데 시간이 걸릴 수 있습니다.</t>
  </si>
  <si>
    <t>의사결정나무 (Decision Tree)</t>
  </si>
  <si>
    <t>해석이 용이하며, 시각적으로 이해하기 쉽습니다.</t>
  </si>
  <si>
    <t>데이터 전처리가 적게 필요하며, 비선형 관계를 잘 모델링할 수 있습니다.</t>
  </si>
  <si>
    <t>빠르게 훈련되고 예측할 수 있습니다.</t>
  </si>
  <si>
    <t>과적합의 위험이 크고, 작은 변화에도 민감하게 반응할 수 있습니다.</t>
  </si>
  <si>
    <t>불균형한 데이터셋에서 성능이 저하될 수 있습니다.</t>
  </si>
  <si>
    <t>SVM이 항상 의사결정나무보다 낮은 정확도를 보인다고 일반화할 수는 없습니다. 데이터의 특성, 크기, 차원, 분포에 따라 성능이 달라질 수 있습니다. 일반적으로 SVM은 고차원 데이터에 강점을 가지지만, 의사결정나무는 해석 용이성과 빠른 훈련 속도로 인해 특정 상황에서 유리할 수 있습니다. 따라서 주어진 문제에 따라 두 모델을 모두 시도하고 비교하는 것이 좋습니다.</t>
  </si>
  <si>
    <t>BaggingClassifier와 RandomForestClassifier</t>
    <phoneticPr fontId="5" type="noConversion"/>
  </si>
  <si>
    <r>
      <t>BaggingClassifier</t>
    </r>
    <r>
      <rPr>
        <sz val="11"/>
        <color theme="1"/>
        <rFont val="맑은 고딕"/>
        <family val="2"/>
        <scheme val="minor"/>
      </rPr>
      <t>:</t>
    </r>
  </si>
  <si>
    <t>모든 기본 모델이 동일한 특성을 사용하여 훈련됩니다.</t>
  </si>
  <si>
    <t>다양한 모델을 사용할 수 있지만, 일반적으로는 같은 유형의 모델로 구성됩니다.</t>
  </si>
  <si>
    <r>
      <t>RandomForestClassifier</t>
    </r>
    <r>
      <rPr>
        <sz val="11"/>
        <color theme="1"/>
        <rFont val="맑은 고딕"/>
        <family val="2"/>
        <scheme val="minor"/>
      </rPr>
      <t>:</t>
    </r>
  </si>
  <si>
    <t>무작위로 선택된 특성을 사용하여 각 결정 트리를 훈련하므로, 각 트리는 서로 다른 특성을 기반으로 예측합니다.</t>
  </si>
  <si>
    <t>이로 인해 모델의 다양성이 증가하고, 과적합을 줄이는 데 효과적입니다</t>
  </si>
  <si>
    <t>칼럼(x) 중 일부 선택</t>
    <phoneticPr fontId="5" type="noConversion"/>
  </si>
  <si>
    <t>동일한 칼럼(x) 선택</t>
    <phoneticPr fontId="5" type="noConversion"/>
  </si>
  <si>
    <t>원리</t>
  </si>
  <si>
    <r>
      <t>HalvingGridSearchCV</t>
    </r>
    <r>
      <rPr>
        <sz val="11"/>
        <color theme="1"/>
        <rFont val="맑은 고딕"/>
        <family val="2"/>
        <scheme val="minor"/>
      </rPr>
      <t>의 작동 원리는 다음과 같습니다:</t>
    </r>
  </si>
  <si>
    <r>
      <t>1. 그리드 서치</t>
    </r>
    <r>
      <rPr>
        <sz val="11"/>
        <color theme="1"/>
        <rFont val="맑은 고딕"/>
        <family val="2"/>
        <scheme val="minor"/>
      </rPr>
      <t>: 다양한 하이퍼파라미터 조합을 탐색하는 전통적인 그리드 서치와 비슷하게 시작합니다. 사용자가 지정한 하이퍼파라미터의 조합을 모두 탐색하려고 합니다.</t>
    </r>
  </si>
  <si>
    <r>
      <t>2. 점진적 샘플링</t>
    </r>
    <r>
      <rPr>
        <sz val="11"/>
        <color theme="1"/>
        <rFont val="맑은 고딕"/>
        <family val="2"/>
        <scheme val="minor"/>
      </rPr>
      <t>: 각 하이퍼파라미터 조합에 대해 초기 모델을 훈련시키고, 그 성능을 평가합니다. 이 단계에서 모든 조합을 평가하지 않고, 각 단계에서 성능이 가장 낮은 조합을 점진적으로 제거합니다.</t>
    </r>
  </si>
  <si>
    <r>
      <t>3. 반복적 축소</t>
    </r>
    <r>
      <rPr>
        <sz val="11"/>
        <color theme="1"/>
        <rFont val="맑은 고딕"/>
        <family val="2"/>
        <scheme val="minor"/>
      </rPr>
      <t>: 모든 조합을 평가한 후, 성능이 좋지 않은 조합을 제거하고, 남은 조합에 대해 더 많은 데이터를 사용하여 다시 평가합니다. 이 과정을 반복하여 최종적으로 가장 성능이 좋은 하이퍼파라미터 조합을 선택합니다.</t>
    </r>
  </si>
  <si>
    <r>
      <t>4. 효율성</t>
    </r>
    <r>
      <rPr>
        <sz val="11"/>
        <color theme="1"/>
        <rFont val="맑은 고딕"/>
        <family val="2"/>
        <scheme val="minor"/>
      </rPr>
      <t>: 이 방법은 특히 데이터셋이 클 때 유용하며, 초기 단계에서 성능이 좋지 않은 조합을 빠르게 제거하여 계산 비용과 시간을 줄이는 데 도움이 됩니다.</t>
    </r>
  </si>
  <si>
    <t>장점</t>
  </si>
  <si>
    <r>
      <t>시간 효율성</t>
    </r>
    <r>
      <rPr>
        <sz val="11"/>
        <color theme="1"/>
        <rFont val="맑은 고딕"/>
        <family val="2"/>
        <scheme val="minor"/>
      </rPr>
      <t>: 성능이 좋지 않은 하이퍼파라미터 조합을 조기에 제거하여 계산 비용을 절감할 수 있습니다.</t>
    </r>
  </si>
  <si>
    <r>
      <t>스케일</t>
    </r>
    <r>
      <rPr>
        <sz val="11"/>
        <color theme="1"/>
        <rFont val="맑은 고딕"/>
        <family val="2"/>
        <scheme val="minor"/>
      </rPr>
      <t>: 대규모 데이터셋이나 복잡한 모델에서도 효과적으로 사용할 수 있습니다.</t>
    </r>
  </si>
  <si>
    <r>
      <t>HalvingGridSearchCV</t>
    </r>
    <r>
      <rPr>
        <sz val="11"/>
        <color theme="1"/>
        <rFont val="맑은 고딕"/>
        <family val="2"/>
        <scheme val="minor"/>
      </rPr>
      <t xml:space="preserve">는 Scikit-learn 라이브러리에서 제공하는 하이퍼파라미터 최적화 기법 중 하나로, </t>
    </r>
    <r>
      <rPr>
        <b/>
        <sz val="11"/>
        <color theme="1"/>
        <rFont val="맑은 고딕"/>
        <family val="3"/>
        <charset val="129"/>
        <scheme val="minor"/>
      </rPr>
      <t>하프닝(Halving)</t>
    </r>
    <r>
      <rPr>
        <sz val="11"/>
        <color theme="1"/>
        <rFont val="맑은 고딕"/>
        <family val="2"/>
        <scheme val="minor"/>
      </rPr>
      <t xml:space="preserve"> 전략을 기반으로 하는 그리드 서치입니다. 이 방법은 모델의 성능을 평가하기 위해 점진적으로 데이터 샘플을 줄여가며 하이퍼파라미터를 최적화하는 방식입니다.</t>
    </r>
    <phoneticPr fontId="5" type="noConversion"/>
  </si>
  <si>
    <t>from sklearn.datasets import load_iris</t>
  </si>
  <si>
    <t>from sklearn.ensemble import RandomForestClassifier</t>
  </si>
  <si>
    <t>from sklearn.model_selection import HalvingGridSearchCV</t>
  </si>
  <si>
    <t># 데이터 로드</t>
  </si>
  <si>
    <t>X, y = load_iris(return_X_y=True)</t>
  </si>
  <si>
    <t># 하이퍼파라미터 그리드 설정</t>
  </si>
  <si>
    <t>param_grid = {</t>
  </si>
  <si>
    <t xml:space="preserve">    'n_estimators': [10, 50, 100, 200],</t>
  </si>
  <si>
    <t xml:space="preserve">    'max_depth': [None, 10, 20, 30]</t>
  </si>
  <si>
    <t># HalvingGridSearchCV 설정</t>
  </si>
  <si>
    <t>model = RandomForestClassifier(random_state=42)</t>
  </si>
  <si>
    <t>halving_grid = HalvingGridSearchCV(model, param_grid, cv=5, factor=2, random_state=42)</t>
  </si>
  <si>
    <t># 모델 훈련</t>
  </si>
  <si>
    <t>halving_grid.fit(X, y)</t>
  </si>
  <si>
    <t># 최적의 하이퍼파라미터 출력</t>
  </si>
  <si>
    <t>print("Best parameters found: ", halving_grid.best_params_)</t>
  </si>
  <si>
    <r>
      <t>HalvingGridSearchCV</t>
    </r>
    <r>
      <rPr>
        <sz val="11"/>
        <color theme="1"/>
        <rFont val="맑은 고딕"/>
        <family val="2"/>
        <scheme val="minor"/>
      </rPr>
      <t>는 그리드 서치의 효율성을 개선한 방법으로, 큰 데이터셋이나 복잡한 하이퍼파라미터 공간에서 빠르게 최적의 하이퍼파라미터를 찾는 데 유용합니다. 이를 통해 하이퍼파라미터 튜닝 과정에서의 계산 비용을 줄이고, 모델 성능을 향상시킬 수 있습니다.</t>
    </r>
  </si>
  <si>
    <t>HalvingGridSearchCV</t>
    <phoneticPr fontId="5" type="noConversion"/>
  </si>
  <si>
    <t>permutation_importance</t>
    <phoneticPr fontId="5" type="noConversion"/>
  </si>
  <si>
    <t>모델의 특성 중요도를 평가하는 방법 중 하나입니다. 이 기법은 각 특성이 모델의 예측 성능에 미치는 영향을 측정하여, 어떤 특성이 중요한지를 파악할 수 있도록 도와줍니다.</t>
  </si>
  <si>
    <r>
      <t>1. 기본 성능 측정</t>
    </r>
    <r>
      <rPr>
        <sz val="11"/>
        <color theme="1"/>
        <rFont val="맑은 고딕"/>
        <family val="2"/>
        <scheme val="minor"/>
      </rPr>
      <t>: 먼저, 원래의 데이터셋을 사용하여 모델을 훈련시키고, 그 성능(예: 정확도, F1 점수 등)을 측정합니다.</t>
    </r>
  </si>
  <si>
    <r>
      <t>2. 특성 섞기</t>
    </r>
    <r>
      <rPr>
        <sz val="11"/>
        <color theme="1"/>
        <rFont val="맑은 고딕"/>
        <family val="2"/>
        <scheme val="minor"/>
      </rPr>
      <t>: 각 특성에 대해 다음 단계를 반복합니다:</t>
    </r>
  </si>
  <si>
    <t>특정 특성의 값을 무작위로 섞어, 해당 특성이 모델의 예측에 영향을 줄 수 없도록 만듭니다.</t>
  </si>
  <si>
    <t>섞인 데이터를 사용하여 모델의 성능을 다시 측정합니다.</t>
  </si>
  <si>
    <r>
      <t>3. 중요도 계산</t>
    </r>
    <r>
      <rPr>
        <sz val="11"/>
        <color theme="1"/>
        <rFont val="맑은 고딕"/>
        <family val="2"/>
        <scheme val="minor"/>
      </rPr>
      <t>: 원래 성능과 섞인 후의 성능을 비교하여, 성능 감소의 정도를 계산합니다. 성능이 크게 감소한다면 해당 특성이 모델에 중요한 영향을 미친다고 판단할 수 있습니다.</t>
    </r>
  </si>
  <si>
    <r>
      <t>4. 평균 및 표준편차</t>
    </r>
    <r>
      <rPr>
        <sz val="11"/>
        <color theme="1"/>
        <rFont val="맑은 고딕"/>
        <family val="2"/>
        <scheme val="minor"/>
      </rPr>
      <t>: 여러 번 섞기를 수행하여 평균적인 중요도 점수와 그 표준편차를 계산합니다.</t>
    </r>
  </si>
  <si>
    <r>
      <t>모델 불변성</t>
    </r>
    <r>
      <rPr>
        <sz val="11"/>
        <color theme="1"/>
        <rFont val="맑은 고딕"/>
        <family val="2"/>
        <scheme val="minor"/>
      </rPr>
      <t>: 이 방법은 모델에 독립적이며, 다양한 종류의 모델에 적용할 수 있습니다.</t>
    </r>
  </si>
  <si>
    <r>
      <t>해석 가능성</t>
    </r>
    <r>
      <rPr>
        <sz val="11"/>
        <color theme="1"/>
        <rFont val="맑은 고딕"/>
        <family val="2"/>
        <scheme val="minor"/>
      </rPr>
      <t>: 각 특성이 모델의 예측에 미치는 영향을 쉽게 해석할 수 있습니다.</t>
    </r>
  </si>
  <si>
    <t>import numpy as np</t>
  </si>
  <si>
    <t>from sklearn.model_selection import train_test_split</t>
  </si>
  <si>
    <t>X_train, X_test, y_train, y_test = train_test_split(X, y, random_state=42)</t>
  </si>
  <si>
    <t>model.fit(X_train, y_train)</t>
  </si>
  <si>
    <t># 원래 성능 측정</t>
  </si>
  <si>
    <t>original_score = model.score(X_test, y_test)</t>
  </si>
  <si>
    <t>print(f"Original accuracy: {original_score:.4f}")</t>
  </si>
  <si>
    <t># permutation importance 계산</t>
  </si>
  <si>
    <t>result = permutation_importance(model, X_test, y_test, n_repeats=30, random_state=42)</t>
  </si>
  <si>
    <t># 중요도 출력</t>
  </si>
  <si>
    <t>for i in result.importances_mean.argsort()[::-1]:</t>
  </si>
  <si>
    <t xml:space="preserve">    print(f"Feature {i}: {result.importances_mean[i]:.4f} ± {result.importances_std[i]:.4f}")</t>
  </si>
  <si>
    <t>from sklearn.inspection import permutation_importance</t>
    <phoneticPr fontId="5" type="noConversion"/>
  </si>
  <si>
    <t>a</t>
    <phoneticPr fontId="5" type="noConversion"/>
  </si>
  <si>
    <t>b</t>
    <phoneticPr fontId="5" type="noConversion"/>
  </si>
  <si>
    <r>
      <rPr>
        <sz val="11"/>
        <color theme="1"/>
        <rFont val="맑은 고딕"/>
        <family val="2"/>
        <scheme val="minor"/>
      </rPr>
      <t>=1 / (1 + EXP(-x))</t>
    </r>
    <phoneticPr fontId="5" type="noConversion"/>
  </si>
  <si>
    <t>모델 설계 가이드</t>
    <phoneticPr fontId="5" type="noConversion"/>
  </si>
  <si>
    <t>머신 러닝 모델을 학습할 때 epoch, batch 크기, 학습률은 매우 중요한 하이퍼파라미터입니다. 이들에 대한 기본 가이드는 다음과 같습니다:</t>
  </si>
  <si>
    <t>1. Epoch</t>
  </si>
  <si>
    <t>정의: 한 번의 epoch는 전체 데이터셋을 한 번 모델에 학습시키는 과정을 의미합니다.</t>
  </si>
  <si>
    <t>기본 가이드:</t>
  </si>
  <si>
    <t>일반적으로 10에서 100 사이의 epoch 수를 시작점으로 설정합니다.</t>
  </si>
  <si>
    <t>학습 곡선(훈련 손실 및 검증 손실)을 모니터링하면서 적절한 epoch 수를 결정합니다. 손실이 더 이상 줄어들지 않거나 검증 손실이 증가하기 시작하면 학습을 멈춥니다(early stopping 기법 사용).</t>
  </si>
  <si>
    <t>2. Batch 크기</t>
  </si>
  <si>
    <t>정의: 배치는 데이터셋을 나눈 작은 묶음을 의미합니다. 한 번의 업데이트를 위해 모델에 주입되는 데이터 샘플의 수를 말합니다.</t>
  </si>
  <si>
    <t>일반적으로 32, 64, 128과 같은 2의 제곱수를 사용합니다.</t>
  </si>
  <si>
    <t>작은 배치 크기는 모델 업데이트를 더 자주 하여 학습 속도를 빠르게 할 수 있지만, 노이즈가 많을 수 있습니다.</t>
  </si>
  <si>
    <t>큰 배치 크기는 더 안정된 학습을 제공하지만, 메모리 사용량이 많고 업데이트 빈도가 적습니다.</t>
  </si>
  <si>
    <t>GPU 메모리 제한을 고려해 최적의 배치 크기를 선택해야 합니다.</t>
  </si>
  <si>
    <t>3. 학습률 (Learning Rate)</t>
  </si>
  <si>
    <t>정의: 학습률은 가중치를 업데이트할 때 얼마나 크게 이동할지를 결정하는 파라미터입니다.</t>
  </si>
  <si>
    <t>일반적으로 0.001에서 0.01 사이의 값을 시작점으로 사용합니다.</t>
  </si>
  <si>
    <t>너무 큰 학습률은 학습을 불안정하게 만들고 최적값을 놓칠 수 있습니다.</t>
  </si>
  <si>
    <t>너무 작은 학습률은 학습 속도를 느리게 하거나 지역 최적값에 갇힐 수 있습니다.</t>
  </si>
  <si>
    <t>학습률 감소 기법(learning rate decay)이나 적응적 학습률 방법(예: Adam, RMSprop)을 사용하는 것도 좋은 방법입니다.</t>
  </si>
  <si>
    <t>추가 팁</t>
  </si>
  <si>
    <t>학습 곡선 모니터링: 훈련 손실과 검증 손실의 변화를 주기적으로 확인하여 오버피팅 또는 언더피팅 여부를 판단합니다.</t>
  </si>
  <si>
    <t>교차 검증: 하이퍼파라미터 튜닝 시 교차 검증을 통해 모델의 일반화 성능을 평가합니다.</t>
  </si>
  <si>
    <t>그리드 서치와 랜덤 서치: 하이퍼파라미터 최적화를 위해 그리드 서치나 랜덤 서치 같은 방법을 사용할 수 있습니다.</t>
  </si>
  <si>
    <t>조기 종료(Early Stopping): 검증 손실이 증가하기 시작하면 학습을 조기에 종료하여 오버피팅을 방지합니다.</t>
  </si>
  <si>
    <t>위 가이드는 초기 설정을 위한 기본적인 방향을 제시합니다. 실제로는 실험을 통해 최적의 값을 찾아가는 과정이 필요합니다.</t>
  </si>
  <si>
    <t>집값예측</t>
    <phoneticPr fontId="5" type="noConversion"/>
  </si>
  <si>
    <t>x5</t>
    <phoneticPr fontId="5" type="noConversion"/>
  </si>
  <si>
    <t>칼럼명5</t>
    <phoneticPr fontId="5" type="noConversion"/>
  </si>
  <si>
    <t>샘플1168</t>
    <phoneticPr fontId="5" type="noConversion"/>
  </si>
  <si>
    <t>x5</t>
    <phoneticPr fontId="5" type="noConversion"/>
  </si>
  <si>
    <t>5개</t>
    <phoneticPr fontId="5" type="noConversion"/>
  </si>
  <si>
    <t>output</t>
    <phoneticPr fontId="5" type="noConversion"/>
  </si>
  <si>
    <t>W4</t>
    <phoneticPr fontId="5" type="noConversion"/>
  </si>
  <si>
    <t>mse</t>
    <phoneticPr fontId="5" type="noConversion"/>
  </si>
  <si>
    <t>24*24*64</t>
    <phoneticPr fontId="5" type="noConversion"/>
  </si>
  <si>
    <t>num_words=500로 빈도수가 500개(500차원)인 단어만 추출한 후 16차원로 차원축소(임베딩층을 이용)</t>
    <phoneticPr fontId="5" type="noConversion"/>
  </si>
  <si>
    <t>영화리뷰 20000</t>
    <phoneticPr fontId="5" type="noConversion"/>
  </si>
  <si>
    <t>500*16</t>
    <phoneticPr fontId="5" type="noConversion"/>
  </si>
  <si>
    <t>입력 가중치</t>
    <phoneticPr fontId="5" type="noConversion"/>
  </si>
  <si>
    <t>LSTM은 입력 가중치, 재귀 가중치, 그리고 편향을 포함합니다.</t>
  </si>
  <si>
    <r>
      <t>LSTM의 내부 구조에서 입력(</t>
    </r>
    <r>
      <rPr>
        <sz val="10"/>
        <color theme="1"/>
        <rFont val="Arial Unicode MS"/>
        <family val="3"/>
        <charset val="129"/>
      </rPr>
      <t>i</t>
    </r>
    <r>
      <rPr>
        <sz val="11"/>
        <color theme="1"/>
        <rFont val="맑은 고딕"/>
        <family val="2"/>
        <scheme val="minor"/>
      </rPr>
      <t>), 삭제(</t>
    </r>
    <r>
      <rPr>
        <sz val="10"/>
        <color theme="1"/>
        <rFont val="Arial Unicode MS"/>
        <family val="3"/>
        <charset val="129"/>
      </rPr>
      <t>f</t>
    </r>
    <r>
      <rPr>
        <sz val="11"/>
        <color theme="1"/>
        <rFont val="맑은 고딕"/>
        <family val="2"/>
        <scheme val="minor"/>
      </rPr>
      <t>), 출력(</t>
    </r>
    <r>
      <rPr>
        <sz val="10"/>
        <color theme="1"/>
        <rFont val="Arial Unicode MS"/>
        <family val="3"/>
        <charset val="129"/>
      </rPr>
      <t>o</t>
    </r>
    <r>
      <rPr>
        <sz val="11"/>
        <color theme="1"/>
        <rFont val="맑은 고딕"/>
        <family val="2"/>
        <scheme val="minor"/>
      </rPr>
      <t>), 그리고 셀(</t>
    </r>
    <r>
      <rPr>
        <sz val="10"/>
        <color theme="1"/>
        <rFont val="Arial Unicode MS"/>
        <family val="3"/>
        <charset val="129"/>
      </rPr>
      <t>c</t>
    </r>
    <r>
      <rPr>
        <sz val="11"/>
        <color theme="1"/>
        <rFont val="맑은 고딕"/>
        <family val="2"/>
        <scheme val="minor"/>
      </rPr>
      <t>)에 대한 각각의 가중치가 필요합니다.</t>
    </r>
  </si>
  <si>
    <t>입력차원*유닛수*4</t>
    <phoneticPr fontId="5" type="noConversion"/>
  </si>
  <si>
    <t>재귀가중치</t>
    <phoneticPr fontId="5" type="noConversion"/>
  </si>
  <si>
    <t>유닛수*유닛수*4</t>
    <phoneticPr fontId="5" type="noConversion"/>
  </si>
  <si>
    <t>편향</t>
    <phoneticPr fontId="5" type="noConversion"/>
  </si>
  <si>
    <t>유닉수*4</t>
    <phoneticPr fontId="5" type="noConversion"/>
  </si>
  <si>
    <t>편향</t>
    <phoneticPr fontId="5" type="noConversion"/>
  </si>
  <si>
    <t>Dense</t>
  </si>
  <si>
    <t>총 가중치</t>
    <phoneticPr fontId="5" type="noConversion"/>
  </si>
  <si>
    <t>50000개</t>
    <phoneticPr fontId="5" type="noConversion"/>
  </si>
  <si>
    <t>airplane</t>
    <phoneticPr fontId="5" type="noConversion"/>
  </si>
  <si>
    <t>automobile</t>
    <phoneticPr fontId="5" type="noConversion"/>
  </si>
  <si>
    <r>
      <t>x</t>
    </r>
    <r>
      <rPr>
        <vertAlign val="subscript"/>
        <sz val="11"/>
        <color theme="1"/>
        <rFont val="맑은 고딕"/>
        <family val="3"/>
        <charset val="129"/>
        <scheme val="minor"/>
      </rPr>
      <t>3</t>
    </r>
    <phoneticPr fontId="5" type="noConversion"/>
  </si>
  <si>
    <r>
      <t>x</t>
    </r>
    <r>
      <rPr>
        <vertAlign val="subscript"/>
        <sz val="11"/>
        <color theme="1"/>
        <rFont val="맑은 고딕"/>
        <family val="3"/>
        <charset val="129"/>
        <scheme val="minor"/>
      </rPr>
      <t>3072</t>
    </r>
    <phoneticPr fontId="5" type="noConversion"/>
  </si>
  <si>
    <t>검출 성능 척도</t>
    <phoneticPr fontId="5" type="noConversion"/>
  </si>
  <si>
    <t xml:space="preserve"> TP</t>
    <phoneticPr fontId="5" type="noConversion"/>
  </si>
  <si>
    <t>FP</t>
    <phoneticPr fontId="5" type="noConversion"/>
  </si>
  <si>
    <t>FN</t>
    <phoneticPr fontId="5" type="noConversion"/>
  </si>
  <si>
    <t>신뢰도 임계값</t>
    <phoneticPr fontId="5" type="noConversion"/>
  </si>
  <si>
    <t>정밀도</t>
    <phoneticPr fontId="5" type="noConversion"/>
  </si>
  <si>
    <t>재현율</t>
    <phoneticPr fontId="5" type="noConversion"/>
  </si>
  <si>
    <t>문장1</t>
    <phoneticPr fontId="5" type="noConversion"/>
  </si>
  <si>
    <t>문장1</t>
    <phoneticPr fontId="5" type="noConversion"/>
  </si>
  <si>
    <t>먼저 각 텍스트의 단어를 나투어 토큰화합니다.</t>
    <phoneticPr fontId="5" type="noConversion"/>
  </si>
  <si>
    <t>문장2</t>
    <phoneticPr fontId="5" type="noConversion"/>
  </si>
  <si>
    <t>텍스트의 단어로 토큰화해야 딥러닝에서 인식됩니다.</t>
    <phoneticPr fontId="5" type="noConversion"/>
  </si>
  <si>
    <t>문장3</t>
    <phoneticPr fontId="5" type="noConversion"/>
  </si>
  <si>
    <t>딥러닝에서 토큰화한 결과는 사용할 수 있습니다.</t>
    <phoneticPr fontId="5" type="noConversion"/>
  </si>
  <si>
    <t>단어 표현</t>
    <phoneticPr fontId="5" type="noConversion"/>
  </si>
  <si>
    <t>카운트 기반 방법</t>
    <phoneticPr fontId="5" type="noConversion"/>
  </si>
  <si>
    <t>어떤 글의 문맥 안에 단어가 등장하는 횟수를 세는 방법</t>
    <phoneticPr fontId="5" type="noConversion"/>
  </si>
  <si>
    <t>동시 출현(공기, Co-occurrence)</t>
    <phoneticPr fontId="5" type="noConversion"/>
  </si>
  <si>
    <t>동시 등장 횟수를 하나의 행렬로 나타낸 뒤 그 행렬을 수치화해서 단어 벡터로 만드는 방법</t>
    <phoneticPr fontId="5" type="noConversion"/>
  </si>
  <si>
    <t>특잇값 분해(Singular Value Decomposition, SVD)</t>
    <phoneticPr fontId="5" type="noConversion"/>
  </si>
  <si>
    <t>잠재의미분석(Latent Semantic Analysis, LSA)</t>
    <phoneticPr fontId="5" type="noConversion"/>
  </si>
  <si>
    <t>예측 방법</t>
    <phoneticPr fontId="5" type="noConversion"/>
  </si>
  <si>
    <t>신경망 구조 혹은 어떠한 모델을 사용해 특정 문맥에서 어떤 단어가 나올지를 예측하면서 단어를 벡터로 만드는 방식</t>
    <phoneticPr fontId="5" type="noConversion"/>
  </si>
  <si>
    <t>Word2vec</t>
  </si>
  <si>
    <t>Word2vec</t>
    <phoneticPr fontId="5" type="noConversion"/>
  </si>
  <si>
    <t>RNN</t>
    <phoneticPr fontId="5" type="noConversion"/>
  </si>
  <si>
    <t>Skip-Gram</t>
    <phoneticPr fontId="5" type="noConversion"/>
  </si>
  <si>
    <t>서로 반대되는 개념</t>
    <phoneticPr fontId="5" type="noConversion"/>
  </si>
  <si>
    <t>어떤 단어를 문맥 안의 주변 단어들을 통해 예측하는 방법</t>
    <phoneticPr fontId="5" type="noConversion"/>
  </si>
  <si>
    <t>어떤 단어를 가지고 특정 문맥 안의 주변 단어들을 예측하는 방법</t>
    <phoneticPr fontId="5" type="noConversion"/>
  </si>
  <si>
    <t>CBOW(Continuous Bag of Words)</t>
    <phoneticPr fontId="5" type="noConversion"/>
  </si>
  <si>
    <t>창욱은 냉장고에서 음식을 꺼내서 먹었다.</t>
    <phoneticPr fontId="5" type="noConversion"/>
  </si>
  <si>
    <t>창욱은 냉장고에서 _______ 꺼내서 먹었다.</t>
    <phoneticPr fontId="5" type="noConversion"/>
  </si>
  <si>
    <t>______ ___________ 음식을 _______ _________</t>
    <phoneticPr fontId="5" type="noConversion"/>
  </si>
  <si>
    <t>두 모델은 위와 같이 단어들을 예측하면서 단어 벡터를 계속해서 학습한다.</t>
    <phoneticPr fontId="5" type="noConversion"/>
  </si>
  <si>
    <t>입력층 벡터 (V)</t>
    <phoneticPr fontId="5" type="noConversion"/>
  </si>
  <si>
    <t>NNLM</t>
    <phoneticPr fontId="5" type="noConversion"/>
  </si>
  <si>
    <t>https://docs.google.com/spreadsheets/d/1nlyKdyx8xhpQJmAEUT4eI7Z-f3-AOfBw/edit?gid=989060826#gid=989060826</t>
    <phoneticPr fontId="5" type="noConversion"/>
  </si>
  <si>
    <t>텍스트의 원 핫 인코딩 과정</t>
    <phoneticPr fontId="5" type="noConversion"/>
  </si>
  <si>
    <r>
      <t xml:space="preserve">text = </t>
    </r>
    <r>
      <rPr>
        <sz val="11"/>
        <color rgb="FFA31515"/>
        <rFont val="Consolas"/>
        <family val="3"/>
      </rPr>
      <t>"</t>
    </r>
    <r>
      <rPr>
        <sz val="11"/>
        <color rgb="FFA31515"/>
        <rFont val="돋움"/>
        <family val="3"/>
        <charset val="129"/>
      </rPr>
      <t>오랫동안</t>
    </r>
    <r>
      <rPr>
        <sz val="11"/>
        <color rgb="FFA31515"/>
        <rFont val="Consolas"/>
        <family val="3"/>
      </rPr>
      <t xml:space="preserve"> </t>
    </r>
    <r>
      <rPr>
        <sz val="11"/>
        <color rgb="FFA31515"/>
        <rFont val="돋움"/>
        <family val="3"/>
        <charset val="129"/>
      </rPr>
      <t>꿈꾸는</t>
    </r>
    <r>
      <rPr>
        <sz val="11"/>
        <color rgb="FFA31515"/>
        <rFont val="Consolas"/>
        <family val="3"/>
      </rPr>
      <t xml:space="preserve"> </t>
    </r>
    <r>
      <rPr>
        <sz val="11"/>
        <color rgb="FFA31515"/>
        <rFont val="돋움"/>
        <family val="3"/>
        <charset val="129"/>
      </rPr>
      <t>이는</t>
    </r>
    <r>
      <rPr>
        <sz val="11"/>
        <color rgb="FFA31515"/>
        <rFont val="Consolas"/>
        <family val="3"/>
      </rPr>
      <t xml:space="preserve"> </t>
    </r>
    <r>
      <rPr>
        <sz val="11"/>
        <color rgb="FFA31515"/>
        <rFont val="돋움"/>
        <family val="3"/>
        <charset val="129"/>
      </rPr>
      <t>그</t>
    </r>
    <r>
      <rPr>
        <sz val="11"/>
        <color rgb="FFA31515"/>
        <rFont val="Consolas"/>
        <family val="3"/>
      </rPr>
      <t xml:space="preserve"> </t>
    </r>
    <r>
      <rPr>
        <sz val="11"/>
        <color rgb="FFA31515"/>
        <rFont val="돋움"/>
        <family val="3"/>
        <charset val="129"/>
      </rPr>
      <t>꿈을</t>
    </r>
    <r>
      <rPr>
        <sz val="11"/>
        <color rgb="FFA31515"/>
        <rFont val="Consolas"/>
        <family val="3"/>
      </rPr>
      <t xml:space="preserve"> </t>
    </r>
    <r>
      <rPr>
        <sz val="11"/>
        <color rgb="FFA31515"/>
        <rFont val="돋움"/>
        <family val="3"/>
        <charset val="129"/>
      </rPr>
      <t>닮아간다</t>
    </r>
    <r>
      <rPr>
        <sz val="11"/>
        <color rgb="FFA31515"/>
        <rFont val="Consolas"/>
        <family val="3"/>
      </rPr>
      <t>."</t>
    </r>
    <phoneticPr fontId="5" type="noConversion"/>
  </si>
  <si>
    <r>
      <t xml:space="preserve">word_size = len(token.word_index) + </t>
    </r>
    <r>
      <rPr>
        <sz val="11"/>
        <color rgb="FF098658"/>
        <rFont val="Consolas"/>
        <family val="3"/>
      </rPr>
      <t>1</t>
    </r>
    <phoneticPr fontId="5" type="noConversion"/>
  </si>
  <si>
    <t>from tensorflow.keras.preprocessing.text import Tokenizer</t>
    <phoneticPr fontId="5" type="noConversion"/>
  </si>
  <si>
    <r>
      <t>from</t>
    </r>
    <r>
      <rPr>
        <sz val="11"/>
        <color theme="1"/>
        <rFont val="맑은 고딕"/>
        <family val="2"/>
        <scheme val="minor"/>
      </rPr>
      <t xml:space="preserve"> keras.utils </t>
    </r>
    <r>
      <rPr>
        <sz val="11"/>
        <color rgb="FFDCC6E0"/>
        <rFont val="맑은 고딕"/>
        <family val="3"/>
        <charset val="129"/>
        <scheme val="minor"/>
      </rPr>
      <t>import</t>
    </r>
    <r>
      <rPr>
        <sz val="11"/>
        <color theme="1"/>
        <rFont val="맑은 고딕"/>
        <family val="2"/>
        <scheme val="minor"/>
      </rPr>
      <t xml:space="preserve"> to_categorical</t>
    </r>
    <phoneticPr fontId="5" type="noConversion"/>
  </si>
  <si>
    <t>: 특정한 알고리즘으로, 단어를 벡터로 변환하는 방법</t>
    <phoneticPr fontId="5" type="noConversion"/>
  </si>
  <si>
    <t xml:space="preserve"> 단어를 벡터로 표현하는 일반적인 개념을 의미하며, Word2Vec 외에도 GloVe, FastText 등 다양한 방법이 포함</t>
    <phoneticPr fontId="5" type="noConversion"/>
  </si>
  <si>
    <t xml:space="preserve">순차 데이터의 표현 </t>
  </si>
  <si>
    <t>https://word2vec.kr/search/</t>
    <phoneticPr fontId="5" type="noConversion"/>
  </si>
  <si>
    <t>회귀 분석을 기반으로 한 예측</t>
    <phoneticPr fontId="5" type="noConversion"/>
  </si>
  <si>
    <t>추세를 반영한 모델</t>
    <phoneticPr fontId="5" type="noConversion"/>
  </si>
  <si>
    <t>선형 추세</t>
    <phoneticPr fontId="5" type="noConversion"/>
  </si>
  <si>
    <t>자기 상관과 아리마 모델</t>
    <phoneticPr fontId="5" type="noConversion"/>
  </si>
  <si>
    <t># 1. 모델 개요</t>
  </si>
  <si>
    <t># 모델: OLS (Ordinary Least Squares) 회귀 분석을 사용하여 Ridership (승객 수)와 시간에 대한 선형 추세를 모델링했습니다.</t>
  </si>
  <si>
    <t># 종속 변수: Ridership (승객 수)</t>
  </si>
  <si>
    <t># 독립 변수: 시간에 따른 추세 (trend)</t>
  </si>
  <si>
    <t># 2. 주요 결과 해석</t>
  </si>
  <si>
    <t># R-squared: 0.006</t>
  </si>
  <si>
    <t># 이 값은 모델이 데이터의 변동성을 설명하는 데 매우 미흡하다는 것을 나타냅니다. 즉, 시간에 따른 추세가 승객 수의 변화에 거의 영향을 미치지 않음을 시사합니다.</t>
  </si>
  <si>
    <t># Adjusted R-squared: -0.002</t>
  </si>
  <si>
    <t xml:space="preserve"># 조정된 R-squared 값은 모델이 오히려 성능이 떨어진다는 것을 의미합니다. </t>
  </si>
  <si>
    <t># 독립 변수가 적절하지 않거나 모델이 과적합(overfitting)되었을 가능성을 나타냅니다.</t>
  </si>
  <si>
    <t># F-statistic: 0.7456</t>
  </si>
  <si>
    <t xml:space="preserve"># F 통계량은 회귀 모델이 유의미한지를 평가합니다. p-value가 0.390으로 0.05보다 크므로, </t>
  </si>
  <si>
    <t># 모델이 통계적으로 유의미하지 않다는 것을 나타냅니다.</t>
  </si>
  <si>
    <t># 3. 회귀 계수</t>
  </si>
  <si>
    <t># Intercept (절편): 1750.3595</t>
  </si>
  <si>
    <t xml:space="preserve"># 모델의 절편은 시간의 시작점에서 예상되는 승객 수를 나타냅니다. </t>
  </si>
  <si>
    <t># 즉, 시간에 따라 승객 수가 0일 때의 예상 값입니다.</t>
  </si>
  <si>
    <t># trend (추세 계수): 0.3514</t>
  </si>
  <si>
    <t># 추세 계수가 양수이긴 하지만, p-value가 0.390으로 유의미하지 않습니다.</t>
  </si>
  <si>
    <t># 이는 시간이 지남에 따라 승객 수가 증가하는 경향이 있음을 시사하지만, 통계적으로 신뢰할 수 있는 결과는 아닙니다.</t>
  </si>
  <si>
    <t># 4. 모델 진단</t>
  </si>
  <si>
    <t># Durbin-Watson: 1.110</t>
  </si>
  <si>
    <t xml:space="preserve"># 이 값은 잔차의 자기상관을 나타냅니다. 2에 가까운 값이 이상적이며, </t>
  </si>
  <si>
    <t># 1.110은 잔차 간의 양의 자기상관이 존재할 가능성을 나타냅니다.</t>
  </si>
  <si>
    <t># Omnibus Test: 4.293, Prob(Omnibus) = 0.117</t>
  </si>
  <si>
    <t># 이 테스트는 잔차의 정규성을 평가합니다. p-value가 0.05보다 크므로, 잔차가 정규 분포를 따를 가능성이 높습니다.</t>
  </si>
  <si>
    <t># Jarque-Bera Test: 4.340, Prob(JB) = 0.114</t>
  </si>
  <si>
    <t># 이 테스트 역시 잔차의 정규성을 평가합니다. p-value가 0.05보다 크므로, 잔차가 정규성을 만족합니다.</t>
  </si>
  <si>
    <t># 5. 시각화 결과</t>
  </si>
  <si>
    <t># 시계열 그래프에서 원본 데이터와 예측된 추세선을 함께 시각화함으로써, 모델의 적합도를 시각적으로 확인할 수 있습니다. 원본 데이터와 예측된 추세선 간의 차이가 크다면, 모델이 데이터의 패턴을 잘 설명하지 못하고 있다는 것을 나타냅니다.</t>
  </si>
  <si>
    <t># 결론</t>
  </si>
  <si>
    <t># 결과적으로, 이 회귀 모형은 승객 수의 변화에 대한 신뢰할 수 있는 예측을 제공하지 못하고 있습니다.</t>
  </si>
  <si>
    <t xml:space="preserve"># 이는 데이터가 비선형적이거나, 시간 이외의 다른 요인들(예: 계절성, 경제적 요인, 특정 사건 등)이 승객 수에 더 큰 영향을 미치고 있을 가능성을 시사합니다. </t>
  </si>
  <si>
    <t># 따라서 추가적인 분석이나 다른 모델(예: 비선형 회귀, ARIMA 모델 등)을 고려해야 할 필요가 있습니다.</t>
  </si>
  <si>
    <t>지수 추세</t>
  </si>
  <si>
    <t># 회귀 분석 결과와 시각화에 대한 자세한 해석을 제공하겠습니다. 이번 분석은 Amtrak 승객 수 데이터에 대해 선형 회귀 및 로그 변환된 회귀 모델을 통해 진행되었습니다.</t>
  </si>
  <si>
    <t># 목적: Amtrak 승객 수(Ridership)의 변화를 설명하기 위해 두 가지 다른 회귀 모델을 사용했습니다. 첫 번째는 선형 회귀 모델, 두 번째는 로그 변환된 회귀 모델입니다.</t>
  </si>
  <si>
    <t># 데이터: train_df는 훈련 데이터, valid_df는 검증 데이터입니다.</t>
  </si>
  <si>
    <t># 2. 선형 회귀 모델 분석</t>
  </si>
  <si>
    <t># 복사</t>
  </si>
  <si>
    <t># ridership_lm_linear = sm.ols(formula='Ridership ~ trend', data=train_df).fit()</t>
  </si>
  <si>
    <t># predict_df_linear = ridership_lm_linear.predict(valid_df)</t>
  </si>
  <si>
    <t># OLS 모델 생성: Ridership를 종속 변수로 하고, trend를 독립 변수로 하는 선형 회귀 모델을 생성합니다.</t>
  </si>
  <si>
    <t># 예측: 검증 데이터(valid_df)에 대해 예측 값을 계산합니다.</t>
  </si>
  <si>
    <t># 3. 로그 변환 회귀 모델 분석</t>
  </si>
  <si>
    <t># ridership_lm_expo = sm.ols(formula='np.log(Ridership) ~ trend', data=train_df).fit()</t>
  </si>
  <si>
    <t># predict_df_expo = ridership_lm_expo.predict(valid_df)</t>
  </si>
  <si>
    <t># 로그 변환: Ridership의 로그 값을 종속 변수로 설정하여 회귀 모델을 생성합니다. 로그 변환은 승객 수의 비율적 변화를 좀 더 잘 설명할 수 있도록 돕습니다.</t>
  </si>
  <si>
    <t># 예측: 검증 데이터에 대해 로그 변환된 예측 값을 생성합니다.</t>
  </si>
  <si>
    <t># 4. 시각화 결과</t>
  </si>
  <si>
    <t># fig, ax = plt.subplots(nrows=1, ncols=1, figsize=(9,4))</t>
  </si>
  <si>
    <t># train_df.plot(y='Ridership', ax=ax, color='C0', linewidth=0.75)</t>
  </si>
  <si>
    <t># valid_df.plot(y='Ridership', ax=ax, color='C0', linestyle='dashed', linewidth=0.75)</t>
  </si>
  <si>
    <t># 훈련 및 검증 데이터 시각화: 훈련 데이터는 실선으로, 검증 데이터는 대시선으로 시각화합니다.</t>
  </si>
  <si>
    <t># ridership_lm_linear.predict(train_df).plot(color='C1')</t>
  </si>
  <si>
    <t># ridership_lm_linear.predict(valid_df).plot(color='C1', linestyle='dashed')</t>
  </si>
  <si>
    <t># 선형 회귀 예측 시각화: 훈련 및 검증 데이터에 대한 선형 회귀 예측 값을 시각화합니다.</t>
  </si>
  <si>
    <t># ridership_lm_expo.predict(train_df).apply(lambda row: math.exp(row)).plot(color='C2')</t>
  </si>
  <si>
    <t># ridership_lm_expo.predict(valid_df).apply(lambda row: math.exp(row)).plot(color='C2', linestyle='dashed')</t>
  </si>
  <si>
    <t># 로그 회귀 예측 시각화: 로그 변환된 예측 값을 다시 지수화하여 시각화합니다.</t>
  </si>
  <si>
    <t># 5. OLS 회귀 결과 해석</t>
  </si>
  <si>
    <t># plaintext</t>
  </si>
  <si>
    <t># Dep. Variable:    np.log(Ridership)   R-squared:  0.005</t>
  </si>
  <si>
    <t># Model:    OLS Adj. R-squared: -0.004</t>
  </si>
  <si>
    <t># Method:   Least Squares   F-statistic:    0.5707</t>
  </si>
  <si>
    <t># Date: Sun, 15 Jun 2025    Prob (F-statistic): 0.451</t>
  </si>
  <si>
    <t># 종속 변수: 로그 변환된 승객 수(np.log(Ridership)).</t>
  </si>
  <si>
    <t># R-squared: 0.005로, 모델이 데이터의 변동성을 거의 설명하지 못함을 나타냅니다.</t>
  </si>
  <si>
    <t># Adjusted R-squared: -0.004로, 모델이 오히려 성능이 떨어진다는 것을 보여줍니다.</t>
  </si>
  <si>
    <t># coef  std err t   P&gt;|t|   [0.025  0.975]</t>
  </si>
  <si>
    <t># Intercept 7.4647  0.017   442.535 0.000   7.431   7.498</t>
  </si>
  <si>
    <t># trend 0.0002  0.000   0.755   0.451   -0.000  0.001</t>
  </si>
  <si>
    <t># Intercept (절편): 7.4647로, 로그 변환된 승객 수의 예상 값입니다. 이는 승객 수가 0일 때의 로그 값입니다.</t>
  </si>
  <si>
    <t># trend (추세 계수): 0.0002로, 시간이 지남에 따라 승객 수가 증가하는 경향이 있음을 나타내지만, p-value가 0.451로 유의미하지 않음을 보여줍니다. 즉, 시간에 따른 변화가 통계적으로 유의미하지 않다는 것입니다.</t>
  </si>
  <si>
    <t># 6. 모델 진단</t>
  </si>
  <si>
    <t># Omnibus:  8.566   Durbin-Watson:  1.106</t>
  </si>
  <si>
    <t># Prob(Omnibus):    0.014   Jarque-Bera (JB):   8.749</t>
  </si>
  <si>
    <t># Skew: -0.652  Prob(JB):   0.0126</t>
  </si>
  <si>
    <t># Kurtosis: 3.091   Cond. No.   144.</t>
  </si>
  <si>
    <t># Durbin-Watson: 1.106으로, 잔차의 자기상관이 존재할 가능성을 나타냅니다. 2에 가까운 값이 이상적입니다.</t>
  </si>
  <si>
    <t># Omnibus 및 Jarque-Bera: 잔차의 정규성을 검사하는 지표로, p-value가 0.05보다 작으므로 잔차가 정규성을 따르지 않을 가능성이 있습니다.</t>
  </si>
  <si>
    <t># 이 분석의 결과는 승객 수의 변화에 대한 신뢰할 수 있는 예측을 제공하지 못하며, 이는 데이터가 비선형적이거나 다른 요인(예: 계절성, 경제적 요인 등)이 영향을 미치고 있을 가능성을 시사합니다. 따라서 추가적인 데이터 분석이나 모델링이 필요합니다. 예를 들어, 비선형 회귀 모델, ARIMA 모델, 또는 계절성 요소를 포함하는 모델을 고려할 수 있습니다.</t>
  </si>
  <si>
    <t>다항 추세</t>
    <phoneticPr fontId="5" type="noConversion"/>
  </si>
  <si>
    <t>1. 기본 정보</t>
  </si>
  <si>
    <r>
      <t>종속 변수 (Dep. Variable)</t>
    </r>
    <r>
      <rPr>
        <sz val="11"/>
        <color theme="1"/>
        <rFont val="맑은 고딕"/>
        <family val="2"/>
        <scheme val="minor"/>
      </rPr>
      <t>: Ridership (탑승객 수)</t>
    </r>
  </si>
  <si>
    <r>
      <t>모델</t>
    </r>
    <r>
      <rPr>
        <sz val="11"/>
        <color theme="1"/>
        <rFont val="맑은 고딕"/>
        <family val="2"/>
        <scheme val="minor"/>
      </rPr>
      <t>: OLS (Ordinary Least Squares)</t>
    </r>
  </si>
  <si>
    <r>
      <t>관측치 수 (No. Observations)</t>
    </r>
    <r>
      <rPr>
        <sz val="11"/>
        <color theme="1"/>
        <rFont val="맑은 고딕"/>
        <family val="2"/>
        <scheme val="minor"/>
      </rPr>
      <t>: 123</t>
    </r>
  </si>
  <si>
    <r>
      <t>자유도 (Df Residuals)</t>
    </r>
    <r>
      <rPr>
        <sz val="11"/>
        <color theme="1"/>
        <rFont val="맑은 고딕"/>
        <family val="2"/>
        <scheme val="minor"/>
      </rPr>
      <t>: 120</t>
    </r>
  </si>
  <si>
    <r>
      <t>자유도 (Df Model)</t>
    </r>
    <r>
      <rPr>
        <sz val="11"/>
        <color theme="1"/>
        <rFont val="맑은 고딕"/>
        <family val="2"/>
        <scheme val="minor"/>
      </rPr>
      <t>: 2</t>
    </r>
  </si>
  <si>
    <t>2. 모델 적합도</t>
  </si>
  <si>
    <r>
      <t>R-squared</t>
    </r>
    <r>
      <rPr>
        <sz val="11"/>
        <color theme="1"/>
        <rFont val="맑은 고딕"/>
        <family val="2"/>
        <scheme val="minor"/>
      </rPr>
      <t>: 0.150</t>
    </r>
  </si>
  <si>
    <t>모델이 종속 변수의 변동성을 15% 설명한다는 의미입니다. 이는 상대적으로 낮은 수치로, 모델이 데이터의 변동을 잘 설명하지 못하고 있음을 나타냅니다.</t>
  </si>
  <si>
    <r>
      <t>Adjusted R-squared</t>
    </r>
    <r>
      <rPr>
        <sz val="11"/>
        <color theme="1"/>
        <rFont val="맑은 고딕"/>
        <family val="2"/>
        <scheme val="minor"/>
      </rPr>
      <t>: 0.136</t>
    </r>
  </si>
  <si>
    <t>자유도를 고려한 R-squared로, 모델의 설명력을 보완합니다. 13.6%를 설명하는 것은 여전히 낮은 수준입니다.</t>
  </si>
  <si>
    <r>
      <t>F-statistic</t>
    </r>
    <r>
      <rPr>
        <sz val="11"/>
        <color theme="1"/>
        <rFont val="맑은 고딕"/>
        <family val="2"/>
        <scheme val="minor"/>
      </rPr>
      <t>: 10.58</t>
    </r>
  </si>
  <si>
    <t>모델의 유의성을 확인하는 통계량으로, 이 값이 높을수록 모델이 유의미한 설명력을 갖는다는 것을 의미합니다.</t>
  </si>
  <si>
    <r>
      <t>Prob (F-statistic)</t>
    </r>
    <r>
      <rPr>
        <sz val="11"/>
        <color theme="1"/>
        <rFont val="맑은 고딕"/>
        <family val="2"/>
        <scheme val="minor"/>
      </rPr>
      <t>: 5.84e-05</t>
    </r>
  </si>
  <si>
    <t>F-statistic에 대한 p-value로, 0.0000584는 매우 낮은 값으로, 모델이 통계적으로 유의미하다는 것을 나타냅니다.</t>
  </si>
  <si>
    <t>3. 회귀 계수 (coef)</t>
  </si>
  <si>
    <t>| 변수 | 계수 (coef) | 표준 오차 (std err) | t | P&gt;|t| | 신뢰 구간 [0.025, 0.975] |</t>
  </si>
  <si>
    <t>|-------------------------|------------------|---------------------|---------|--------|--------------------------|</t>
  </si>
  <si>
    <t>| Intercept | 1888.8840 | 40.915 | 46.166 | 0.000 | [1807.875, 1969.893] |</t>
  </si>
  <si>
    <t>| trend | -6.2978 | 1.523 | -4.134 | 0.000 | [-9.314, -3.282] |</t>
  </si>
  <si>
    <t>| np.square(trend) | 0.0536 | 0.012 | 4.506 | 0.000 | [0.030, 0.077] |</t>
  </si>
  <si>
    <r>
      <t>Intercept (절편)</t>
    </r>
    <r>
      <rPr>
        <sz val="11"/>
        <color theme="1"/>
        <rFont val="맑은 고딕"/>
        <family val="2"/>
        <scheme val="minor"/>
      </rPr>
      <t>: 1888.88</t>
    </r>
  </si>
  <si>
    <t>트렌드 값이 0일 때, 예상되는 Ridership의 값입니다.</t>
  </si>
  <si>
    <r>
      <t>trend (선형 추세)</t>
    </r>
    <r>
      <rPr>
        <sz val="11"/>
        <color theme="1"/>
        <rFont val="맑은 고딕"/>
        <family val="2"/>
        <scheme val="minor"/>
      </rPr>
      <t>: -6.2978</t>
    </r>
  </si>
  <si>
    <t>시간의 흐름에 따라 Ridership가 감소하는 추세를 나타냅니다. 이 값이 음수이므로, 시간이 지남에 따라 탑승객 수가 감소하는 경향이 있음을 시사합니다.</t>
  </si>
  <si>
    <r>
      <t>np.square(trend) (2차 추세)</t>
    </r>
    <r>
      <rPr>
        <sz val="11"/>
        <color theme="1"/>
        <rFont val="맑은 고딕"/>
        <family val="2"/>
        <scheme val="minor"/>
      </rPr>
      <t>: 0.0536</t>
    </r>
  </si>
  <si>
    <t>선형 추세의 제곱항으로, 비선형적인 관계를 모델링합니다. 이 값이 양수이므로, 시간이 지남에 따라 감소 속도가 줄어드는 경향이 있음을 나타냅니다.</t>
  </si>
  <si>
    <t>4. 모델 진단</t>
  </si>
  <si>
    <r>
      <t>AIC</t>
    </r>
    <r>
      <rPr>
        <sz val="11"/>
        <color theme="1"/>
        <rFont val="맑은 고딕"/>
        <family val="2"/>
        <scheme val="minor"/>
      </rPr>
      <t>: 1583</t>
    </r>
  </si>
  <si>
    <t>모델의 적합도를 평가하는 지표로, 낮을수록 좋습니다. 여러 모델을 비교할 때 유용합니다.</t>
  </si>
  <si>
    <r>
      <t>BIC</t>
    </r>
    <r>
      <rPr>
        <sz val="11"/>
        <color theme="1"/>
        <rFont val="맑은 고딕"/>
        <family val="2"/>
        <scheme val="minor"/>
      </rPr>
      <t>: 1591</t>
    </r>
  </si>
  <si>
    <t>AIC와 비슷하지만 모델의 복잡성을 더욱 강하게 벌점으로 반영합니다. 역시 낮을수록 좋습니다.</t>
  </si>
  <si>
    <r>
      <t>Omnibus</t>
    </r>
    <r>
      <rPr>
        <sz val="11"/>
        <color theme="1"/>
        <rFont val="맑은 고딕"/>
        <family val="2"/>
        <scheme val="minor"/>
      </rPr>
      <t xml:space="preserve">: 7.384, </t>
    </r>
    <r>
      <rPr>
        <b/>
        <sz val="11"/>
        <color theme="1"/>
        <rFont val="맑은 고딕"/>
        <family val="3"/>
        <charset val="129"/>
        <scheme val="minor"/>
      </rPr>
      <t>Prob(Omnibus)</t>
    </r>
    <r>
      <rPr>
        <sz val="11"/>
        <color theme="1"/>
        <rFont val="맑은 고딕"/>
        <family val="2"/>
        <scheme val="minor"/>
      </rPr>
      <t>: 0.025</t>
    </r>
  </si>
  <si>
    <t>잔차의 정규성을 검사하는 지표로, p-value가 0.025로 유의미하여 잔차가 정규 분포를 따르지 않을 가능성이 있습니다.</t>
  </si>
  <si>
    <r>
      <t>Durbin-Watson</t>
    </r>
    <r>
      <rPr>
        <sz val="11"/>
        <color theme="1"/>
        <rFont val="맑은 고딕"/>
        <family val="2"/>
        <scheme val="minor"/>
      </rPr>
      <t>: 1.298</t>
    </r>
  </si>
  <si>
    <t>잔차의 자기상관을 검사하는 지표입니다. 2에 가까울수록 자기상관이 없음을 나타내며, 1.298은 자기상관이 존재할 가능성을 시사합니다.</t>
  </si>
  <si>
    <r>
      <t>Skew</t>
    </r>
    <r>
      <rPr>
        <sz val="11"/>
        <color theme="1"/>
        <rFont val="맑은 고딕"/>
        <family val="2"/>
        <scheme val="minor"/>
      </rPr>
      <t>: -0.540</t>
    </r>
  </si>
  <si>
    <t>잔차의 비대칭 정도를 나타내며, 음수이면 왼쪽으로 치우쳐 있음을 의미합니다.</t>
  </si>
  <si>
    <r>
      <t>Kurtosis</t>
    </r>
    <r>
      <rPr>
        <sz val="11"/>
        <color theme="1"/>
        <rFont val="맑은 고딕"/>
        <family val="2"/>
        <scheme val="minor"/>
      </rPr>
      <t>: 2.516</t>
    </r>
  </si>
  <si>
    <t>잔차의 첨도를 나타내며, 3에 가까운 값이 정규 분포에 가까움을 의미합니다. 2.516은 정규성을 다소 벗어난 형태를 나타냅니다.</t>
  </si>
  <si>
    <t>이 모델은 탑승객 수에 대한 다항 추세를 잘 설명하지 못하며, R-squared 값이 낮고 여러 모델 진단 지표에서 개선이 필요함을 시사합니다. 특히 잔차의 정규성 문제와 자기상관이 우려되므로, 추가적인 모델링이나 데이터 변환, 또는 다른 모델을 고려하는 것이 바람직합니다.</t>
  </si>
  <si>
    <t>계절성을 반영한 모델</t>
  </si>
  <si>
    <t># 이번 분석에서는 Amtrak 승객 수(Ridership)에 대한 선형 회귀 모델을 사용하여 추세 및 계절성을 고려한 결과를 살펴보겠습니다. 두 가지 모델을 분석하며, 각각의 결과를 자세히 해석하겠습니다.</t>
  </si>
  <si>
    <t># 1. 다항 회귀 모델 분석 (Polynomial Regression)</t>
  </si>
  <si>
    <t># ridership_lm_poly = sm.ols(formula='Ridership ~ trend + np.square(trend)', data=train_df).fit()</t>
  </si>
  <si>
    <t># 모델: Ridership를 종속 변수로 하고, trend와 trend의 제곱을 독립 변수로 하는 다항 회귀 모델을 생성합니다. 이 모델은 선형 추세뿐만 아니라 비선형성을 고려합니다.</t>
  </si>
  <si>
    <t># fig, axes = plt.subplots(nrows=2, ncols=1, figsize=(9, 7.5))</t>
  </si>
  <si>
    <t># 시각화: 두 개의 서브플롯을 생성합니다. 첫 번째 플롯은 예측값을 보여주고, 두 번째 플롯은 잔차를 보여줍니다.</t>
  </si>
  <si>
    <t># ridership_lm_poly.predict(train_df).plot(ax=axes[0], color='C1')</t>
  </si>
  <si>
    <t># 훈련 데이터 예측: 훈련 데이터에 대한 예측 값을 플롯합니다.</t>
  </si>
  <si>
    <t># residual = train_df.Ridership - ridership_lm_poly.predict(train_df)</t>
  </si>
  <si>
    <t># 잔차 계산: 실제 승객 수에서 예측 값을 빼서 잔차를 계산합니다.</t>
  </si>
  <si>
    <t># 2. 계절성 회귀 모델 분석 (Seasonal Regression)</t>
  </si>
  <si>
    <t># ridership_df = tsatools.add_trend(ridership_ts, trend='c')</t>
  </si>
  <si>
    <t># ridership_df['Month'] = ridership_df.index.month</t>
  </si>
  <si>
    <t># 계절성 설정: Ridership 데이터에 상수 추세를 추가하고, 각 월 정보를 새 열로 추가합니다.</t>
  </si>
  <si>
    <t># ridership_lm_season = sm.ols(formula='Ridership ~ C(Month)', data=train_df).fit()</t>
  </si>
  <si>
    <t># 계절성 회귀 모델: 월별 더미 변수를 사용하여 Ridership에 대한 회귀 모델을 생성합니다. 각 월의 영향을 독립적으로 평가합니다.</t>
  </si>
  <si>
    <t># 3. OLS 회귀 결과 해석</t>
  </si>
  <si>
    <t># Dep. Variable:              Ridership   R-squared:                       0.635</t>
  </si>
  <si>
    <t># Model:                            OLS   Adj. R-squared:                  0.599</t>
  </si>
  <si>
    <t># 종속 변수: 승객 수(Ridership).</t>
  </si>
  <si>
    <t># R-squared: 0.635로, 모델이 약 63.5%의 변동성을 설명합니다. 이는 상당히 높은 설명력을 나타냅니다.</t>
  </si>
  <si>
    <t># Adjusted R-squared: 0.599로, 모델의 복잡성을 고려했을 때도 여전히 좋은 설명력을 유지합니다.</t>
  </si>
  <si>
    <t># F-statistic:                     17.54</t>
  </si>
  <si>
    <t># Prob (F-statistic):           1.20e-19</t>
  </si>
  <si>
    <t># F-statistic: 17.54로, 모델이 통계적으로 유의미함을 나타냅니다. p-value가 1.20e-19로 매우 작으므로, 적어도 하나의 독립 변수가 유의미하게 종속 변수에 영향을 미친다는 것을 의미합니다.</t>
  </si>
  <si>
    <t># 4. 회귀 계수 해석</t>
  </si>
  <si>
    <t># Intercept       1573.9722     30.578     51.475      0.000    1513.381    1634.564</t>
  </si>
  <si>
    <t># 절편: 1573.9722로, 모든 월에서 승객 수의 예상 값입니다. 이는 기본적으로 승객 수가 0일 때의 값입니다.</t>
  </si>
  <si>
    <t># C(Month)[T.2]    -42.9302     43.243     -0.993      0.323</t>
  </si>
  <si>
    <t># C(Month)[T.3]    260.7677     43.243      6.030      0.000</t>
  </si>
  <si>
    <t># ...</t>
  </si>
  <si>
    <t># C(Month)[T.12]   230.4151     44.311      5.200      0.000</t>
  </si>
  <si>
    <t># 계절성 계수: 각 월별 더미 변수의 계수는 해당 월의 승객 수에 미치는 영향을 나타냅니다.</t>
  </si>
  <si>
    <t># 예를 들어, 3월의 계수는 260.77로, 3월에 승객 수가 기본값보다 약 260.77 더 많음을 나타냅니다. p-value가 0.000으로 유의미합니다.</t>
  </si>
  <si>
    <t># 반면, 2월의 계수는 -42.93로, 2월에는 승객 수가 감소함을 의미하지만, p-value가 0.323로 유의미하지 않습니다.</t>
  </si>
  <si>
    <t># 5. 모델 진단</t>
  </si>
  <si>
    <t># Omnibus:                        0.495   Durbin-Watson:                   0.386</t>
  </si>
  <si>
    <t># Prob(Omnibus):                  0.781   Jarque-Bera (JB):                0.452</t>
  </si>
  <si>
    <t># Skew:                          -0.145   Prob(JB):                        0.798</t>
  </si>
  <si>
    <t># Kurtosis:                       2.937   Cond. No.                         12.5</t>
  </si>
  <si>
    <t># Durbin-Watson: 0.386으로 잔차 간의 양의 자기상관이 존재할 가능성을 나타냅니다. 2에 가까운 값이 이상적입니다.</t>
  </si>
  <si>
    <t># Omnibus 및 Jarque-Bera: 잔차의 정규성을 검사하는 지표로, p-value가 0.05보다 크므로 잔차가 정규성을 만족합니다.</t>
  </si>
  <si>
    <t># 이 분석의 결과는 월별 승객 수에 대한 회귀 모델이 상당한 설명력을 가지고 있으며, 특정 월에 대한 승객 수의 변화를 잘 설명하고 있음을 보여줍니다. 그러나 잔차의 자기상관 문제를 해결할 필요가 있으며, 추가적인 모델링(예: ARIMA, SARIMA 등)을 고려할 수 있습니다. 분석을 통해 승객 수에 영향을 미치는 계절성을 명확히 파악할 수 있으며, 이는 향후 예측 및 의사 결정에 중요한 정보를 제공합니다.</t>
  </si>
  <si>
    <r>
      <rPr>
        <b/>
        <sz val="11"/>
        <color rgb="FF008000"/>
        <rFont val="돋움"/>
        <family val="3"/>
        <charset val="129"/>
      </rPr>
      <t>추세와</t>
    </r>
    <r>
      <rPr>
        <b/>
        <sz val="11"/>
        <color rgb="FF008000"/>
        <rFont val="Consolas"/>
        <family val="3"/>
      </rPr>
      <t xml:space="preserve"> </t>
    </r>
    <r>
      <rPr>
        <b/>
        <sz val="11"/>
        <color rgb="FF008000"/>
        <rFont val="돋움"/>
        <family val="3"/>
        <charset val="129"/>
      </rPr>
      <t>계절성을</t>
    </r>
    <r>
      <rPr>
        <b/>
        <sz val="11"/>
        <color rgb="FF008000"/>
        <rFont val="Consolas"/>
        <family val="3"/>
      </rPr>
      <t xml:space="preserve"> </t>
    </r>
    <r>
      <rPr>
        <b/>
        <sz val="11"/>
        <color rgb="FF008000"/>
        <rFont val="돋움"/>
        <family val="3"/>
        <charset val="129"/>
      </rPr>
      <t>반영한</t>
    </r>
    <r>
      <rPr>
        <b/>
        <sz val="11"/>
        <color rgb="FF008000"/>
        <rFont val="Consolas"/>
        <family val="3"/>
      </rPr>
      <t xml:space="preserve"> </t>
    </r>
    <r>
      <rPr>
        <b/>
        <sz val="11"/>
        <color rgb="FF008000"/>
        <rFont val="돋움"/>
        <family val="3"/>
        <charset val="129"/>
      </rPr>
      <t>모델</t>
    </r>
    <phoneticPr fontId="5" type="noConversion"/>
  </si>
  <si>
    <t># 이번 분석에서는 Amtrak 승객 수(Ridership)에 대한 선형 회귀 모델을 사용하여 추세와 계절성을 고려한 결과를 살펴보겠습니다. 아래는 코드 해석과 함께 OLS 회귀 결과를 자세히 분석한 내용입니다.</t>
  </si>
  <si>
    <t># 1. 코드 해석</t>
  </si>
  <si>
    <t># ridership_df = tsatools.add_trend(ridership_ts, trend='ct')</t>
  </si>
  <si>
    <t># 추세 추가: tsatools.add_trend를 사용하여 승객 수 데이터에 선형 추세(trend)를 추가합니다.</t>
  </si>
  <si>
    <t># 월 정보 추가: 각 데이터의 월 정보를 새 열로 추가합니다.</t>
  </si>
  <si>
    <t># train_df = ridership_df[:nTrain]</t>
  </si>
  <si>
    <t># valid_df = ridership_df[nTrain:]</t>
  </si>
  <si>
    <t># 데이터 분할: 데이터셋을 훈련 데이터(train_df)와 검증 데이터(valid_df)로 나눕니다.</t>
  </si>
  <si>
    <t># ridership_lm_trendseason = sm.ols(formula='Ridership ~ trend + np.square(trend) + C(Month)', data=train_df).fit()</t>
  </si>
  <si>
    <t># 회귀 모델 생성: Ridership를 종속 변수로 하고, 선형 추세(trend), 제곱 추세(np.square(trend)), 그리고 월별 더미 변수(C(Month))를 독립 변수로 하는 회귀 모델을 생성합니다.</t>
  </si>
  <si>
    <t># 시각화 준비: 두 개의 서브플롯을 생성하여 예측값과 잔차를 시각화합니다.</t>
  </si>
  <si>
    <t># ridership_lm_trendseason.predict(train_df).plot(ax=axes[0], color='C1')</t>
  </si>
  <si>
    <t># 훈련 데이터 예측 시각화: 훈련 데이터에 대한 예측 값을 시각화합니다.</t>
  </si>
  <si>
    <t># 2. OLS 회귀 결과 해석</t>
  </si>
  <si>
    <t># Dep. Variable:              Ridership   R-squared:                       0.825</t>
  </si>
  <si>
    <t># Model:                            OLS   Adj. R-squared:                  0.804</t>
  </si>
  <si>
    <t># R-squared: 0.825로, 모델이 약 82.5%의 변동성을 설명합니다. 이는 모델의 설명력이 매우 높음을 나타냅니다.</t>
  </si>
  <si>
    <t># Adjusted R-squared: 0.804로, 모델의 복잡성을 고려했을 때도 여전히 좋은 설명력을 유지합니다.</t>
  </si>
  <si>
    <t># F-statistic:                     39.42</t>
  </si>
  <si>
    <t># Prob (F-statistic):           3.75e-35</t>
  </si>
  <si>
    <t># F-statistic: 39.42로, 모델이 통계적으로 유의미함을 나타냅니다. p-value가 3.75e-35로 매우 작으므로, 적어도 하나의 독립 변수가 유의미하게 종속 변수에 영향을 미친다는 것을 의미합니다.</t>
  </si>
  <si>
    <t># 3. 회귀 계수 해석</t>
  </si>
  <si>
    <t># Intercept         1696.9794     27.675     61.318      0.000    1642.128    1751.831</t>
  </si>
  <si>
    <t># 절편: 1696.9794로, 모든 변수(추세와 월)가 0일 때의 예상 승객 수입니다.</t>
  </si>
  <si>
    <t># C(Month)[T.2]      -43.2458     30.241     -1.430      0.156</t>
  </si>
  <si>
    <t># C(Month)[T.3]      260.0149     30.242      8.598      0.000</t>
  </si>
  <si>
    <t># C(Month)[T.4]      260.6175     31.021      8.401      0.000</t>
  </si>
  <si>
    <t># C(Month)[T.12]     242.9294     31.029      7.829      0.000</t>
  </si>
  <si>
    <t># 예를 들어, 3월의 계수는 260.0149로, 3월에 승객 수가 기본값보다 약 260.01 더 많음을 나타냅니다 (p-value = 0.000, 유의미).</t>
  </si>
  <si>
    <t># 2월의 계수는 -43.2458로, 2월에는 승객 수가 감소함을 의미하지만, p-value가 0.156로 유의미하지 않습니다.</t>
  </si>
  <si>
    <t># trend               -7.1559      0.729     -9.812      0.000      -8.601      -5.710</t>
  </si>
  <si>
    <t># np.square(trend)     0.0607      0.006     10.660      0.000       0.049       0.072</t>
  </si>
  <si>
    <t># 추세 계수: trend는 -7.1559로, 시간이 지남에 따라 승객 수가 감소하는 경향이 있음을 나타냅니다. 그러나 이는 제곱 항과 함께 고려해야 합니다.</t>
  </si>
  <si>
    <t># 제곱 추세 계수: 0.0607로, 추세의 비선형적인 증가를 나타냅니다. 즉, 승객 수의 변화가 시간이 지남에 따라 증가하는 경향이 있음을 의미합니다.</t>
  </si>
  <si>
    <t># Omnibus:                        7.382   Durbin-Watson:                   0.791</t>
  </si>
  <si>
    <t># Prob(Omnibus):                  0.025   Jarque-Bera (JB):                6.974</t>
  </si>
  <si>
    <t># Skew:                          -0.529   Prob(JB):                        0.0306</t>
  </si>
  <si>
    <t># Kurtosis:                       3.492   Cond. No.                         8.24e+04</t>
  </si>
  <si>
    <t># Durbin-Watson: 0.791으로, 잔차 간의 양의 자기상관이 존재할 가능성을 나타냅니다. 2에 가까운 값이 이상적입니다.</t>
  </si>
  <si>
    <t># 이 분석의 결과는 승객 수에 대한 회귀 모델이 상당한 설명력을 가지고 있으며, 특히 특정 월에 대한 승객 수의 변화를 잘 설명하고 있음을 보여줍니다. 그러나 잔차의 자기상관 문제를 해결할 필요가 있으며, 추가적인 모델링(예: ARIMA, SARIMA 등)을 고려할 수 있습니다. 이 분석은 승객 수에 영향을 미치는 계절성과 추세를 명확히 파악하며, 향후 예측 및 의사 결정에 중요한 정보를 제공합니다.</t>
  </si>
  <si>
    <t>Month</t>
  </si>
  <si>
    <t>Ridership</t>
  </si>
  <si>
    <t>01/01/1991</t>
  </si>
  <si>
    <t>01/02/1991</t>
  </si>
  <si>
    <t>01/03/1991</t>
  </si>
  <si>
    <t>01/04/1991</t>
  </si>
  <si>
    <t>01/05/1991</t>
  </si>
  <si>
    <t>01/06/1991</t>
  </si>
  <si>
    <t>01/07/1991</t>
  </si>
  <si>
    <t>01/08/1991</t>
  </si>
  <si>
    <t>01/09/1991</t>
  </si>
  <si>
    <t>01/10/1991</t>
  </si>
  <si>
    <t>01/11/1991</t>
  </si>
  <si>
    <t>01/12/1991</t>
  </si>
  <si>
    <t>01/01/1992</t>
  </si>
  <si>
    <t>01/02/1992</t>
  </si>
  <si>
    <t>01/03/1992</t>
  </si>
  <si>
    <t>01/04/1992</t>
  </si>
  <si>
    <t>01/05/1992</t>
  </si>
  <si>
    <t>01/06/1992</t>
  </si>
  <si>
    <t>01/07/1992</t>
  </si>
  <si>
    <t>01/08/1992</t>
  </si>
  <si>
    <t>01/09/1992</t>
  </si>
  <si>
    <t>01/10/1992</t>
  </si>
  <si>
    <t>01/11/1992</t>
  </si>
  <si>
    <t>01/12/1992</t>
  </si>
  <si>
    <t>01/01/1993</t>
  </si>
  <si>
    <t>01/02/1993</t>
  </si>
  <si>
    <t>01/03/1993</t>
  </si>
  <si>
    <t>01/04/1993</t>
  </si>
  <si>
    <t>01/05/1993</t>
  </si>
  <si>
    <t>01/06/1993</t>
  </si>
  <si>
    <t>01/07/1993</t>
  </si>
  <si>
    <t>01/08/1993</t>
  </si>
  <si>
    <t>01/09/1993</t>
  </si>
  <si>
    <t>01/10/1993</t>
  </si>
  <si>
    <t>01/11/1993</t>
  </si>
  <si>
    <t>01/12/1993</t>
  </si>
  <si>
    <t>01/01/1994</t>
  </si>
  <si>
    <t>01/02/1994</t>
  </si>
  <si>
    <t>01/03/1994</t>
  </si>
  <si>
    <t>01/04/1994</t>
  </si>
  <si>
    <t>01/05/1994</t>
  </si>
  <si>
    <t>01/06/1994</t>
  </si>
  <si>
    <t>01/07/1994</t>
  </si>
  <si>
    <t>01/08/1994</t>
  </si>
  <si>
    <t>01/09/1994</t>
  </si>
  <si>
    <t>01/10/1994</t>
  </si>
  <si>
    <t>01/11/1994</t>
  </si>
  <si>
    <t>01/12/1994</t>
  </si>
  <si>
    <t>01/01/1995</t>
  </si>
  <si>
    <t>01/02/1995</t>
  </si>
  <si>
    <t>01/03/1995</t>
  </si>
  <si>
    <t>01/04/1995</t>
  </si>
  <si>
    <t>01/05/1995</t>
  </si>
  <si>
    <t>01/06/1995</t>
  </si>
  <si>
    <t>01/07/1995</t>
  </si>
  <si>
    <t>01/08/1995</t>
  </si>
  <si>
    <t>01/09/1995</t>
  </si>
  <si>
    <t>01/10/1995</t>
  </si>
  <si>
    <t>01/11/1995</t>
  </si>
  <si>
    <t>01/12/1995</t>
  </si>
  <si>
    <t>01/01/1996</t>
  </si>
  <si>
    <t>01/02/1996</t>
  </si>
  <si>
    <t>01/03/1996</t>
  </si>
  <si>
    <t>01/04/1996</t>
  </si>
  <si>
    <t>01/05/1996</t>
  </si>
  <si>
    <t>01/06/1996</t>
  </si>
  <si>
    <t>01/07/1996</t>
  </si>
  <si>
    <t>01/08/1996</t>
  </si>
  <si>
    <t>01/09/1996</t>
  </si>
  <si>
    <t>01/10/1996</t>
  </si>
  <si>
    <t>01/11/1996</t>
  </si>
  <si>
    <t>01/12/1996</t>
  </si>
  <si>
    <t>01/01/1997</t>
  </si>
  <si>
    <t>01/02/1997</t>
  </si>
  <si>
    <t>01/03/1997</t>
  </si>
  <si>
    <t>01/04/1997</t>
  </si>
  <si>
    <t>01/05/1997</t>
  </si>
  <si>
    <t>01/06/1997</t>
  </si>
  <si>
    <t>01/07/1997</t>
  </si>
  <si>
    <t>01/08/1997</t>
  </si>
  <si>
    <t>01/09/1997</t>
  </si>
  <si>
    <t>01/10/1997</t>
  </si>
  <si>
    <t>01/11/1997</t>
  </si>
  <si>
    <t>01/12/1997</t>
  </si>
  <si>
    <t>01/01/1998</t>
  </si>
  <si>
    <t>01/02/1998</t>
  </si>
  <si>
    <t>01/03/1998</t>
  </si>
  <si>
    <t>01/04/1998</t>
  </si>
  <si>
    <t>01/05/1998</t>
  </si>
  <si>
    <t>01/06/1998</t>
  </si>
  <si>
    <t>01/07/1998</t>
  </si>
  <si>
    <t>01/08/1998</t>
  </si>
  <si>
    <t>01/09/1998</t>
  </si>
  <si>
    <t>01/10/1998</t>
  </si>
  <si>
    <t>01/11/1998</t>
  </si>
  <si>
    <t>01/12/1998</t>
  </si>
  <si>
    <t>01/01/1999</t>
  </si>
  <si>
    <t>01/02/1999</t>
  </si>
  <si>
    <t>01/03/1999</t>
  </si>
  <si>
    <t>01/04/1999</t>
  </si>
  <si>
    <t>01/05/1999</t>
  </si>
  <si>
    <t>01/06/1999</t>
  </si>
  <si>
    <t>01/07/1999</t>
  </si>
  <si>
    <t>01/08/1999</t>
  </si>
  <si>
    <t>01/09/1999</t>
  </si>
  <si>
    <t>01/10/1999</t>
  </si>
  <si>
    <t>01/11/1999</t>
  </si>
  <si>
    <t>01/12/1999</t>
  </si>
  <si>
    <t>01/01/2000</t>
  </si>
  <si>
    <t>01/02/2000</t>
  </si>
  <si>
    <t>01/03/2000</t>
  </si>
  <si>
    <t>01/04/2000</t>
  </si>
  <si>
    <t>01/05/2000</t>
  </si>
  <si>
    <t>01/06/2000</t>
  </si>
  <si>
    <t>01/07/2000</t>
  </si>
  <si>
    <t>01/08/2000</t>
  </si>
  <si>
    <t>01/09/2000</t>
  </si>
  <si>
    <t>01/10/2000</t>
  </si>
  <si>
    <t>01/11/2000</t>
  </si>
  <si>
    <t>01/12/2000</t>
  </si>
  <si>
    <t>01/01/2001</t>
  </si>
  <si>
    <t>01/02/2001</t>
  </si>
  <si>
    <t>01/03/2001</t>
  </si>
  <si>
    <t>01/04/2001</t>
  </si>
  <si>
    <t>01/05/2001</t>
  </si>
  <si>
    <t>01/06/2001</t>
  </si>
  <si>
    <t>01/07/2001</t>
  </si>
  <si>
    <t>01/08/2001</t>
  </si>
  <si>
    <t>01/09/2001</t>
  </si>
  <si>
    <t>01/10/2001</t>
  </si>
  <si>
    <t>01/11/2001</t>
  </si>
  <si>
    <t>01/12/2001</t>
  </si>
  <si>
    <t>01/01/2002</t>
  </si>
  <si>
    <t>01/02/2002</t>
  </si>
  <si>
    <t>01/03/2002</t>
  </si>
  <si>
    <t>01/04/2002</t>
  </si>
  <si>
    <t>01/05/2002</t>
  </si>
  <si>
    <t>01/06/2002</t>
  </si>
  <si>
    <t>01/07/2002</t>
  </si>
  <si>
    <t>01/08/2002</t>
  </si>
  <si>
    <t>01/09/2002</t>
  </si>
  <si>
    <t>01/10/2002</t>
  </si>
  <si>
    <t>01/11/2002</t>
  </si>
  <si>
    <t>01/12/2002</t>
  </si>
  <si>
    <t>01/01/2003</t>
  </si>
  <si>
    <t>01/02/2003</t>
  </si>
  <si>
    <t>01/03/2003</t>
  </si>
  <si>
    <t>01/04/2003</t>
  </si>
  <si>
    <t>01/05/2003</t>
  </si>
  <si>
    <t>01/06/2003</t>
  </si>
  <si>
    <t>01/07/2003</t>
  </si>
  <si>
    <t>01/08/2003</t>
  </si>
  <si>
    <t>01/09/2003</t>
  </si>
  <si>
    <t>01/10/2003</t>
  </si>
  <si>
    <t>01/11/2003</t>
  </si>
  <si>
    <t>01/12/2003</t>
  </si>
  <si>
    <t>01/01/2004</t>
  </si>
  <si>
    <t>01/02/2004</t>
  </si>
  <si>
    <t>01/03/2004</t>
  </si>
  <si>
    <t>Lag-1</t>
  </si>
  <si>
    <t>Lag-1</t>
    <phoneticPr fontId="5" type="noConversion"/>
  </si>
  <si>
    <t>Lag-2</t>
  </si>
  <si>
    <t>원래시계열과 1-지연 시계열 사이의 상관 계수</t>
    <phoneticPr fontId="19" type="noConversion"/>
  </si>
  <si>
    <t>원래시계열과 2-지연 시계열 사이의 상관 계수</t>
  </si>
  <si>
    <t>Lag-3</t>
  </si>
  <si>
    <t>Lag-4</t>
  </si>
  <si>
    <t>Lag-5</t>
  </si>
  <si>
    <t>Lag-6</t>
  </si>
  <si>
    <t>Lag-7</t>
  </si>
  <si>
    <t>Lag-8</t>
  </si>
  <si>
    <t>Lag-9</t>
  </si>
  <si>
    <t>Lag-10</t>
  </si>
  <si>
    <t>Lag-11</t>
  </si>
  <si>
    <t>Lag-12</t>
  </si>
  <si>
    <t>Lag-13</t>
  </si>
  <si>
    <t>Lag-14</t>
  </si>
  <si>
    <t>Lag-15</t>
  </si>
  <si>
    <t>Lag-16</t>
  </si>
  <si>
    <t>Lag-17</t>
  </si>
  <si>
    <t>Lag-18</t>
  </si>
  <si>
    <t>Lag-19</t>
  </si>
  <si>
    <t>Lag-20</t>
  </si>
  <si>
    <t>Lag-21</t>
  </si>
  <si>
    <t>Lag-22</t>
  </si>
  <si>
    <t>Lag-23</t>
  </si>
  <si>
    <t>Lag-24</t>
  </si>
  <si>
    <t>Ridership</t>
    <phoneticPr fontId="5" type="noConversion"/>
  </si>
  <si>
    <t>1. 자기 상관값(ACF)</t>
  </si>
  <si>
    <r>
      <t>정의</t>
    </r>
    <r>
      <rPr>
        <sz val="11"/>
        <color theme="1"/>
        <rFont val="맑은 고딕"/>
        <family val="2"/>
        <scheme val="minor"/>
      </rPr>
      <t>: 자기 상관 함수(ACF)는 시간 지연(lag) 간의 상관관계를 측정합니다. 각 lag에 대한 상관값이 크면, 해당 lag의 과거 값이 현재 값에 큰 영향을 미친다는 것을 의미합니다.</t>
    </r>
  </si>
  <si>
    <r>
      <t>해석</t>
    </r>
    <r>
      <rPr>
        <sz val="11"/>
        <color theme="1"/>
        <rFont val="맑은 고딕"/>
        <family val="2"/>
        <scheme val="minor"/>
      </rPr>
      <t>: ACF 그래프에서 lag 값이 크고 통계적으로 유의미한 경우, 해당 lag에 대해 ARIMA 모델에서 그 값을 포함해야 할 필요성이 큽니다.</t>
    </r>
  </si>
  <si>
    <t>2. PACF(부분 자기 상관 함수)</t>
  </si>
  <si>
    <r>
      <t>정의</t>
    </r>
    <r>
      <rPr>
        <sz val="11"/>
        <color theme="1"/>
        <rFont val="맑은 고딕"/>
        <family val="2"/>
        <scheme val="minor"/>
      </rPr>
      <t>: PACF는 특정 lag에 대한 자기 상관을 다른 모든 lag의 영향을 제거한 후 측정합니다.</t>
    </r>
  </si>
  <si>
    <r>
      <t>해석</t>
    </r>
    <r>
      <rPr>
        <sz val="11"/>
        <color theme="1"/>
        <rFont val="맑은 고딕"/>
        <family val="2"/>
        <scheme val="minor"/>
      </rPr>
      <t>: PACF에서 특정 lag의 값이 크고 유의미하다면, 해당 lag를 ARIMA 모델의 AR(자기 회귀) 부분에 포함하는 것이 좋습니다.</t>
    </r>
  </si>
  <si>
    <t>3. 자기 상관값이 클 때</t>
  </si>
  <si>
    <r>
      <t>모델 구성</t>
    </r>
    <r>
      <rPr>
        <sz val="11"/>
        <color theme="1"/>
        <rFont val="맑은 고딕"/>
        <family val="2"/>
        <scheme val="minor"/>
      </rPr>
      <t>: 자기 상관값이 크다는 것은 모델에 해당 lag를 포함시킬 필요가 있다는 신호입니다. 예를 들어, lag 1에서 큰 상관관계를 보인다면, AR(1) 부분을 포함시키는 것이 유리합니다.</t>
    </r>
  </si>
  <si>
    <r>
      <t>모델 성능 향상</t>
    </r>
    <r>
      <rPr>
        <sz val="11"/>
        <color theme="1"/>
        <rFont val="맑은 고딕"/>
        <family val="2"/>
        <scheme val="minor"/>
      </rPr>
      <t>: 적절한 lag를 포함시킴으로써 모델의 예측 성능을 향상시킬 수 있습니다.</t>
    </r>
  </si>
  <si>
    <t>4. 주의사항</t>
  </si>
  <si>
    <r>
      <t>과적합</t>
    </r>
    <r>
      <rPr>
        <sz val="11"/>
        <color theme="1"/>
        <rFont val="맑은 고딕"/>
        <family val="2"/>
        <scheme val="minor"/>
      </rPr>
      <t>: 모든 lag를 포함하면 모델이 과적합될 위험이 있으므로, AIC/BIC 등의 기준을 사용하여 최적의 모델을 선택하는 것이 중요합니다.</t>
    </r>
  </si>
  <si>
    <r>
      <t>유의성 검정</t>
    </r>
    <r>
      <rPr>
        <sz val="11"/>
        <color theme="1"/>
        <rFont val="맑은 고딕"/>
        <family val="2"/>
        <scheme val="minor"/>
      </rPr>
      <t>: 자기 상관값이 크다고 해서 반드시 좋은 모델이 되는 것은 아닙니다. p-value 등을 통해 유의성을 검정해야 합니다.</t>
    </r>
  </si>
  <si>
    <t>ARIMA 모델에서 lag 1부터 lag 12까지의 자기 상관값이 크면, 해당 lag들이 모델에 포함될 가능성이 높아지지만, 단순히 자기 상관값의 크기만으로 모델의 품질을 판단할 수는 없습니다. ACF, PACF 그래프와 함께 모델의 적합도 지표를 종합적으로 고려하여 최적의 모델을 선택해야 합니다.</t>
  </si>
  <si>
    <t>Date</t>
  </si>
  <si>
    <t># ACF 결과 해석:</t>
  </si>
  <si>
    <t># ACF 값이 0에 가까운 경우: 잔차 간에 상관관계가 없음을 의미하여, 모델이 잘 적합되었음을 시사합니다.</t>
  </si>
  <si>
    <t># ACF 값이 0에서 멀어질수록 (특히 양수 또는 음수로) 잔차 간에 상관관계가 있음을 나타내며, 이는 모델이 적합되지 않았거나, 시계열 데이터에 패턴이 남아 있음을 의미합니다.</t>
  </si>
  <si>
    <t># 이 분석은 시계열 데이터에서 모델의 성능을 평가하고, 잔차가 독립적이고 동일하게 분포되어 있는지 확인하는 데 중요합니다. ACF를 통해 모델의 적합성을 검증하고, 필요한 경우 모델을 개선할 수 있는 기초 자료를 제공합니다.</t>
  </si>
  <si>
    <t>AR 모델</t>
    <phoneticPr fontId="5" type="noConversion"/>
  </si>
  <si>
    <t>다른 하나는 잔차 값을 이용해 2차 예측 모델을 방법</t>
    <phoneticPr fontId="5" type="noConversion"/>
  </si>
  <si>
    <t>하나는 회귀 모델에 자기 상관 정보를 바로 포함시키는 방법</t>
    <phoneticPr fontId="5" type="noConversion"/>
  </si>
  <si>
    <r>
      <t xml:space="preserve">formula </t>
    </r>
    <r>
      <rPr>
        <sz val="11"/>
        <color rgb="FF000000"/>
        <rFont val="Consolas"/>
        <family val="3"/>
      </rPr>
      <t>=</t>
    </r>
    <r>
      <rPr>
        <sz val="11"/>
        <color rgb="FF3B3B3B"/>
        <rFont val="Consolas"/>
        <family val="3"/>
      </rPr>
      <t xml:space="preserve"> </t>
    </r>
    <r>
      <rPr>
        <sz val="11"/>
        <color rgb="FFA31515"/>
        <rFont val="Consolas"/>
        <family val="3"/>
      </rPr>
      <t>'Ridership ~ trend + np.square(trend) + C(Month)'</t>
    </r>
  </si>
  <si>
    <r>
      <t xml:space="preserve">train_lm_trendseason </t>
    </r>
    <r>
      <rPr>
        <sz val="11"/>
        <color rgb="FF000000"/>
        <rFont val="Consolas"/>
        <family val="3"/>
      </rPr>
      <t>=</t>
    </r>
    <r>
      <rPr>
        <sz val="11"/>
        <color rgb="FF3B3B3B"/>
        <rFont val="Consolas"/>
        <family val="3"/>
      </rPr>
      <t xml:space="preserve"> sm.ols(</t>
    </r>
    <r>
      <rPr>
        <sz val="11"/>
        <color rgb="FF001080"/>
        <rFont val="Consolas"/>
        <family val="3"/>
      </rPr>
      <t>formula</t>
    </r>
    <r>
      <rPr>
        <sz val="11"/>
        <color rgb="FF000000"/>
        <rFont val="Consolas"/>
        <family val="3"/>
      </rPr>
      <t>=</t>
    </r>
    <r>
      <rPr>
        <sz val="11"/>
        <color rgb="FF3B3B3B"/>
        <rFont val="Consolas"/>
        <family val="3"/>
      </rPr>
      <t xml:space="preserve">formula, </t>
    </r>
    <r>
      <rPr>
        <sz val="11"/>
        <color rgb="FF001080"/>
        <rFont val="Consolas"/>
        <family val="3"/>
      </rPr>
      <t>data</t>
    </r>
    <r>
      <rPr>
        <sz val="11"/>
        <color rgb="FF000000"/>
        <rFont val="Consolas"/>
        <family val="3"/>
      </rPr>
      <t>=</t>
    </r>
    <r>
      <rPr>
        <sz val="11"/>
        <color rgb="FF3B3B3B"/>
        <rFont val="Consolas"/>
        <family val="3"/>
      </rPr>
      <t>train_df).fit()</t>
    </r>
  </si>
  <si>
    <r>
      <t>from</t>
    </r>
    <r>
      <rPr>
        <sz val="11"/>
        <color rgb="FF3B3B3B"/>
        <rFont val="Consolas"/>
        <family val="3"/>
      </rPr>
      <t xml:space="preserve"> statsmodels.tsa.arima.model </t>
    </r>
    <r>
      <rPr>
        <sz val="11"/>
        <color rgb="FFAF00DB"/>
        <rFont val="Consolas"/>
        <family val="3"/>
      </rPr>
      <t>import</t>
    </r>
    <r>
      <rPr>
        <sz val="11"/>
        <color rgb="FF3B3B3B"/>
        <rFont val="Consolas"/>
        <family val="3"/>
      </rPr>
      <t xml:space="preserve"> ARIMA</t>
    </r>
  </si>
  <si>
    <t>train_res_arima = ARIMA(train_lm_trendseason.resid, order=(1, 0, 0), freq='MS').fit()</t>
    <phoneticPr fontId="5" type="noConversion"/>
  </si>
  <si>
    <r>
      <t>print</t>
    </r>
    <r>
      <rPr>
        <sz val="11"/>
        <color rgb="FF3B3B3B"/>
        <rFont val="Consolas"/>
        <family val="3"/>
      </rPr>
      <t>(train_res_arima.summary())</t>
    </r>
  </si>
  <si>
    <t>예측값</t>
    <phoneticPr fontId="5" type="noConversion"/>
  </si>
  <si>
    <r>
      <t>train_res_arima.forecast(</t>
    </r>
    <r>
      <rPr>
        <sz val="11"/>
        <color rgb="FF098658"/>
        <rFont val="Consolas"/>
        <family val="3"/>
      </rPr>
      <t>1</t>
    </r>
    <r>
      <rPr>
        <sz val="11"/>
        <color rgb="FF3B3B3B"/>
        <rFont val="Consolas"/>
        <family val="3"/>
      </rPr>
      <t>)</t>
    </r>
  </si>
  <si>
    <t>잔차</t>
    <phoneticPr fontId="5" type="noConversion"/>
  </si>
  <si>
    <t>잔차 값이 양수라는 것은 회귀 모델로부터 예측한 2001년 4월의 이용객 수가 과소 예측</t>
    <phoneticPr fontId="5" type="noConversion"/>
  </si>
  <si>
    <t>이를 보정하기 위해 7262명만큼 더해주어야 함</t>
    <phoneticPr fontId="5" type="noConversion"/>
  </si>
  <si>
    <t>실제값</t>
    <phoneticPr fontId="5" type="noConversion"/>
  </si>
  <si>
    <t>보정 후 예측</t>
    <phoneticPr fontId="5" type="noConversion"/>
  </si>
  <si>
    <t>회귀 모델에 자기 상관 정보를 바로 포함시키는 방법</t>
    <phoneticPr fontId="5" type="noConversion"/>
  </si>
  <si>
    <r>
      <t>모델</t>
    </r>
    <r>
      <rPr>
        <sz val="11"/>
        <color theme="1"/>
        <rFont val="맑은 고딕"/>
        <family val="2"/>
        <scheme val="minor"/>
      </rPr>
      <t>: ARIMA(1, 0, 0)</t>
    </r>
  </si>
  <si>
    <t>AR(1) 모델로, 현재 값이 이전 값에 의존하는 형태입니다.</t>
  </si>
  <si>
    <r>
      <t>Log Likelihood</t>
    </r>
    <r>
      <rPr>
        <sz val="11"/>
        <color theme="1"/>
        <rFont val="맑은 고딕"/>
        <family val="2"/>
        <scheme val="minor"/>
      </rPr>
      <t>: -663.542</t>
    </r>
  </si>
  <si>
    <t>모델의 적합도를 나타내며, 값이 클수록 더 나은 적합도를 의미합니다.</t>
  </si>
  <si>
    <t>2. 모델 적합도 지표</t>
  </si>
  <si>
    <r>
      <t>AIC (Akaike Information Criterion)</t>
    </r>
    <r>
      <rPr>
        <sz val="11"/>
        <color theme="1"/>
        <rFont val="맑은 고딕"/>
        <family val="2"/>
        <scheme val="minor"/>
      </rPr>
      <t>: 1333.084</t>
    </r>
  </si>
  <si>
    <t>모델의 설명력을 고려하면서 복잡성을 벌점으로 추가합니다. AIC 값이 낮을수록 좋은 모델입니다.</t>
  </si>
  <si>
    <r>
      <t>BIC (Bayesian Information Criterion)</t>
    </r>
    <r>
      <rPr>
        <sz val="11"/>
        <color theme="1"/>
        <rFont val="맑은 고딕"/>
        <family val="2"/>
        <scheme val="minor"/>
      </rPr>
      <t>: 1341.521</t>
    </r>
  </si>
  <si>
    <t>AIC와 유사하나, 모델의 복잡성을 더 강하게 벌점으로 반영합니다. BIC도 낮을수록 좋습니다.</t>
  </si>
  <si>
    <r>
      <t>HQIC (Hannan-Quinn Information Criterion)</t>
    </r>
    <r>
      <rPr>
        <sz val="11"/>
        <color theme="1"/>
        <rFont val="맑은 고딕"/>
        <family val="2"/>
        <scheme val="minor"/>
      </rPr>
      <t>: 1336.511</t>
    </r>
  </si>
  <si>
    <t>AIC와 BIC의 중간 정도의 벌점 방식을 사용합니다. 낮을수록 좋습니다.</t>
  </si>
  <si>
    <t>| 변수 | 계수 (coef) | 표준 오차 (std err) | z | P&gt;|z| | 신뢰 구간 [0.025, 0.975] |</t>
  </si>
  <si>
    <t>|------------|--------------|----------------------|---------|--------|--------------------------|</t>
  </si>
  <si>
    <t>| const | 0.0328 | 13.039 | 0.003 | 0.998 | [-25.522, 25.588] |</t>
  </si>
  <si>
    <t>| ar.L1 | 0.5998 | 0.076 | 7.901 | 0.000 | [0.451, 0.749] |</t>
  </si>
  <si>
    <t>| sigma2 | 2828.8236 | 291.611 | 9.701 | 0.000 | [2257.276, 3400.372] |</t>
  </si>
  <si>
    <r>
      <t>const (상수항)</t>
    </r>
    <r>
      <rPr>
        <sz val="11"/>
        <color theme="1"/>
        <rFont val="맑은 고딕"/>
        <family val="2"/>
        <scheme val="minor"/>
      </rPr>
      <t>: 0.0328</t>
    </r>
  </si>
  <si>
    <t>모델의 평균 수준을 나타내며, 거의 0에 가까워 실질적인 영향이 적음을 나타냅니다. P-value가 0.998로 매우 높기 때문에 유의미하지 않음을 알 수 있습니다.</t>
  </si>
  <si>
    <r>
      <t>ar.L1 (자기 회귀 계수)</t>
    </r>
    <r>
      <rPr>
        <sz val="11"/>
        <color theme="1"/>
        <rFont val="맑은 고딕"/>
        <family val="2"/>
        <scheme val="minor"/>
      </rPr>
      <t>: 0.5998</t>
    </r>
  </si>
  <si>
    <t>이전 시점의 값이 현재 값에 미치는 영향을 나타냅니다. 0.5998은 이전 값의 약 60%가 현재 값에 영향을 미친다는 것을 의미합니다. P-value가 0.000으로 매우 낮아, 유의미한 영향을 미친다고 할 수 있습니다.</t>
  </si>
  <si>
    <r>
      <t>sigma2 (잔차의 분산)</t>
    </r>
    <r>
      <rPr>
        <sz val="11"/>
        <color theme="1"/>
        <rFont val="맑은 고딕"/>
        <family val="2"/>
        <scheme val="minor"/>
      </rPr>
      <t>: 2828.8236</t>
    </r>
  </si>
  <si>
    <t>모델의 잔차(오차)의 분산을 나타내며, 이 값이 클수록 예측의 변동성이 크다는 것을 의미합니다. P-value가 0.000으로 유의미합니다.</t>
  </si>
  <si>
    <t>4. 진단 통계량</t>
  </si>
  <si>
    <r>
      <t>Ljung-Box (L1) (Q)</t>
    </r>
    <r>
      <rPr>
        <sz val="11"/>
        <color theme="1"/>
        <rFont val="맑은 고딕"/>
        <family val="2"/>
        <scheme val="minor"/>
      </rPr>
      <t>: 0.71</t>
    </r>
  </si>
  <si>
    <t>잔차의 자기 상관성을 검정하는 통계량입니다. Q 값이 낮고, p-value가 0.40으로 통계적으로 유의미하지 않으므로, 잔차에 자기 상관성이 없음을 나타냅니다.</t>
  </si>
  <si>
    <r>
      <t>Jarque-Bera (JB)</t>
    </r>
    <r>
      <rPr>
        <sz val="11"/>
        <color theme="1"/>
        <rFont val="맑은 고딕"/>
        <family val="2"/>
        <scheme val="minor"/>
      </rPr>
      <t>: 23.63</t>
    </r>
  </si>
  <si>
    <t>잔차의 정규성을 검정하는 통계량입니다. P-value가 0.00으로 매우 낮아, 잔차가 정규 분포를 따르지 않음을 나타냅니다.</t>
  </si>
  <si>
    <r>
      <t>Skew</t>
    </r>
    <r>
      <rPr>
        <sz val="11"/>
        <color theme="1"/>
        <rFont val="맑은 고딕"/>
        <family val="2"/>
        <scheme val="minor"/>
      </rPr>
      <t>: -0.72</t>
    </r>
  </si>
  <si>
    <t>잔차의 비대칭 정도를 나타내며, 음수라는 것은 왼쪽으로 치우쳐 있음을 의미합니다.</t>
  </si>
  <si>
    <r>
      <t>Kurtosis</t>
    </r>
    <r>
      <rPr>
        <sz val="11"/>
        <color theme="1"/>
        <rFont val="맑은 고딕"/>
        <family val="2"/>
        <scheme val="minor"/>
      </rPr>
      <t>: 4.59</t>
    </r>
  </si>
  <si>
    <t>잔차의 첨도를 나타내며, 3보다 크면 극단적인 값이 많음을 나타냅니다. 이는 잔차가 정규 분포보다 더 뾰족한 형태임을 의미합니다.</t>
  </si>
  <si>
    <t>이 ARIMA(1, 0, 0) 모델은 자기 회귀 모델로서 탑승객 수와 같은 시계열 데이터의 변동성을 설명하는 데 유용하지만, 잔차의 정규성을 충족하지 않으며, 잔차의 자기 상관성이 없음을 보여줍니다. 자기 회귀 계수가 유의미하므로, 이전 시점의 값이 현재 값에 강한 영향을 미친다는 것을 알 수 있습니다. 모델의 성능을 개선하기 위해서는 비정상성을 해결하고, 비선형성을 고려한 추가적인 모델링이 필요할 수 있습니다.</t>
  </si>
  <si>
    <t>예측성 검증</t>
    <phoneticPr fontId="5" type="noConversion"/>
  </si>
  <si>
    <t>예측 성능을 평가할 수 있는 유용한 방법 중 하나는 시계열이 확률 보행 과정을 따르는지 여부 확인</t>
    <phoneticPr fontId="5" type="noConversion"/>
  </si>
  <si>
    <t>2004271 명</t>
    <phoneticPr fontId="5" type="noConversion"/>
  </si>
  <si>
    <t>명</t>
    <phoneticPr fontId="5" type="noConversion"/>
  </si>
  <si>
    <t>최종 오차</t>
    <phoneticPr fontId="5" type="noConversion"/>
  </si>
  <si>
    <t>평활법</t>
    <phoneticPr fontId="5" type="noConversion"/>
  </si>
  <si>
    <t>추세나 계절성이 존재하지 않는 시계열 데이터에 적합</t>
    <phoneticPr fontId="5" type="noConversion"/>
  </si>
  <si>
    <r>
      <t>홀트의 선형 평활법 (Holt’s Linear Trend Method)</t>
    </r>
    <r>
      <rPr>
        <sz val="11"/>
        <color theme="1"/>
        <rFont val="맑은 고딕"/>
        <family val="2"/>
        <scheme val="minor"/>
      </rPr>
      <t>:</t>
    </r>
  </si>
  <si>
    <t>추세가 있는 데이터에 적합합니다.</t>
  </si>
  <si>
    <t>데이터의 추세를 반영하여 예측합니다.</t>
  </si>
  <si>
    <r>
      <t>홀트-윈터스 평활법 (Holt-Winters Seasonal Method)</t>
    </r>
    <r>
      <rPr>
        <sz val="11"/>
        <color theme="1"/>
        <rFont val="맑은 고딕"/>
        <family val="2"/>
        <scheme val="minor"/>
      </rPr>
      <t>:</t>
    </r>
  </si>
  <si>
    <t>계절성이 있는 데이터에 적합합니다.</t>
  </si>
  <si>
    <t>계절적 패턴과 추세를 모두 반영하여 예측합니다.</t>
  </si>
  <si>
    <r>
      <t>이동평균 (Moving Average)</t>
    </r>
    <r>
      <rPr>
        <sz val="11"/>
        <color theme="1"/>
        <rFont val="맑은 고딕"/>
        <family val="2"/>
        <scheme val="minor"/>
      </rPr>
      <t>:</t>
    </r>
  </si>
  <si>
    <t>일정 기간의 데이터를 평균하여 예측합니다.</t>
  </si>
  <si>
    <t>데이터의 변동성을 줄이고, 예측을 단순화합니다.</t>
  </si>
  <si>
    <t>최근 데이터에 더 많은 가중치를 부여하여 예측합니다.</t>
  </si>
  <si>
    <t>과거 데이터의 평균을 기반으로 하며, 추세나 계절성이 없는 경우에 유용합니다.</t>
  </si>
  <si>
    <t>평활 상수를 결정해야하는데 최근 데이터에 부여할 가중치를 결정하는 역할을 함</t>
    <phoneticPr fontId="5" type="noConversion"/>
  </si>
  <si>
    <t>전후 이동 평균법</t>
    <phoneticPr fontId="5" type="noConversion"/>
  </si>
  <si>
    <t>centered moving average</t>
    <phoneticPr fontId="5" type="noConversion"/>
  </si>
  <si>
    <t>이전 이동 평균법</t>
    <phoneticPr fontId="5" type="noConversion"/>
  </si>
  <si>
    <t>trailed moving average</t>
    <phoneticPr fontId="5" type="noConversion"/>
  </si>
  <si>
    <t>전체적인 추세를 살펴보는데 유용</t>
    <phoneticPr fontId="5" type="noConversion"/>
  </si>
  <si>
    <t>예측에 주로 사용</t>
    <phoneticPr fontId="5" type="noConversion"/>
  </si>
  <si>
    <t>윈도의 폭 w를 정하고 이에 따라 각 윈도 내 w개의 연속된 값들에 대한 평균을 구하여 미래 값을 예측</t>
    <phoneticPr fontId="5" type="noConversion"/>
  </si>
  <si>
    <t>계절 변동을 줄이고 추세가 보다 잘 드러나도록 시각화하는 것이 주목적이므로 기본적으로</t>
    <phoneticPr fontId="5" type="noConversion"/>
  </si>
  <si>
    <t>w는 계절의 주기로 결정, 암트랙의 경우 계절성을 보이므로 12로 정함</t>
    <phoneticPr fontId="5" type="noConversion"/>
  </si>
  <si>
    <t>예측값</t>
    <phoneticPr fontId="5" type="noConversion"/>
  </si>
  <si>
    <t>예측 오차의 이동 평균값</t>
    <phoneticPr fontId="5" type="noConversion"/>
  </si>
  <si>
    <t>최종 오차</t>
    <phoneticPr fontId="5" type="noConversion"/>
  </si>
  <si>
    <r>
      <t>단순 지수 평활법 (Simple Exponential Smoothing)</t>
    </r>
    <r>
      <rPr>
        <sz val="11"/>
        <color theme="1"/>
        <rFont val="맑은 고딕"/>
        <family val="2"/>
        <scheme val="minor"/>
      </rPr>
      <t>:</t>
    </r>
    <phoneticPr fontId="5" type="noConversion"/>
  </si>
  <si>
    <t xml:space="preserve">유연성, 자동화, 정확한 예측력으로 인해 실제 업무에서 가장 많이 활용되는 예측 방법 중 하나 </t>
    <phoneticPr fontId="5" type="noConversion"/>
  </si>
  <si>
    <t>https://docs.google.com/spreadsheets/d/1nlyKdyx8xhpQJmAEUT4eI7Z-f3-AOfBw/edit?gid=30312823#gid=30312823</t>
    <phoneticPr fontId="5" type="noConversion"/>
  </si>
  <si>
    <t>시계열분석 참조</t>
    <phoneticPr fontId="5" type="noConversion"/>
  </si>
  <si>
    <t>C:\ex\py\time\Chapter 17 - Regression-based forecasting.ipynb</t>
    <phoneticPr fontId="5" type="noConversion"/>
  </si>
  <si>
    <t>C:\ex\py\time\Chapter 18 - TS smoothing확인.ipynb</t>
  </si>
  <si>
    <t>https://docs.google.com/presentation/d/17TJlciEnKGJkNC-0YzkQsonoju_VWOmp-t9Atu3vdzk/edit?slide=id.g31e6f597ad5_0_126#slide=id.g31e6f597ad5_0_126</t>
    <phoneticPr fontId="5" type="noConversion"/>
  </si>
  <si>
    <t>추세나 계절적인 요소를 반영할 수 있는 지수 평활법</t>
    <phoneticPr fontId="5" type="noConversion"/>
  </si>
  <si>
    <t>이중 지수 평활법</t>
    <phoneticPr fontId="5" type="noConversion"/>
  </si>
  <si>
    <t>딥러닝을 통한 시계열 분석</t>
    <phoneticPr fontId="5" type="noConversion"/>
  </si>
  <si>
    <t xml:space="preserve">자기 상관 정보를 활용하는 방법에는 두 가지가 있다. </t>
    <phoneticPr fontId="5" type="noConversion"/>
  </si>
  <si>
    <t>A유업의 주간별 매출액</t>
  </si>
  <si>
    <t>(단위:10만원)</t>
  </si>
  <si>
    <t>기간(주간)</t>
  </si>
  <si>
    <t>3주 예측값</t>
  </si>
  <si>
    <t>5주 예측값</t>
  </si>
  <si>
    <r>
      <t>3</t>
    </r>
    <r>
      <rPr>
        <sz val="11"/>
        <color theme="1"/>
        <rFont val="돋움"/>
        <family val="3"/>
        <charset val="129"/>
      </rPr>
      <t>주</t>
    </r>
    <r>
      <rPr>
        <sz val="11"/>
        <color theme="1"/>
        <rFont val="Calibri"/>
        <family val="2"/>
      </rPr>
      <t xml:space="preserve"> </t>
    </r>
    <r>
      <rPr>
        <sz val="11"/>
        <color theme="1"/>
        <rFont val="돋움"/>
        <family val="3"/>
        <charset val="129"/>
      </rPr>
      <t>예측</t>
    </r>
    <r>
      <rPr>
        <sz val="11"/>
        <color theme="1"/>
        <rFont val="Calibri"/>
        <family val="2"/>
      </rPr>
      <t xml:space="preserve"> </t>
    </r>
    <r>
      <rPr>
        <sz val="11"/>
        <color theme="1"/>
        <rFont val="돋움"/>
        <family val="3"/>
        <charset val="129"/>
      </rPr>
      <t>오차</t>
    </r>
    <phoneticPr fontId="5" type="noConversion"/>
  </si>
  <si>
    <r>
      <t>5</t>
    </r>
    <r>
      <rPr>
        <sz val="11"/>
        <color theme="1"/>
        <rFont val="돋움"/>
        <family val="3"/>
        <charset val="129"/>
      </rPr>
      <t>주</t>
    </r>
    <r>
      <rPr>
        <sz val="11"/>
        <color theme="1"/>
        <rFont val="Calibri"/>
        <family val="2"/>
      </rPr>
      <t xml:space="preserve"> </t>
    </r>
    <r>
      <rPr>
        <sz val="11"/>
        <color theme="1"/>
        <rFont val="돋움"/>
        <family val="3"/>
        <charset val="129"/>
      </rPr>
      <t>예측</t>
    </r>
    <r>
      <rPr>
        <sz val="11"/>
        <color theme="1"/>
        <rFont val="Calibri"/>
        <family val="2"/>
      </rPr>
      <t xml:space="preserve"> </t>
    </r>
    <r>
      <rPr>
        <sz val="11"/>
        <color theme="1"/>
        <rFont val="돋움"/>
        <family val="3"/>
        <charset val="129"/>
      </rPr>
      <t>오차</t>
    </r>
    <phoneticPr fontId="5" type="noConversion"/>
  </si>
  <si>
    <t>3주 예측 오차합</t>
    <phoneticPr fontId="5" type="noConversion"/>
  </si>
  <si>
    <t>5주 예측 오차합</t>
    <phoneticPr fontId="5" type="noConversion"/>
  </si>
  <si>
    <r>
      <t>3</t>
    </r>
    <r>
      <rPr>
        <sz val="11"/>
        <color theme="1"/>
        <rFont val="돋움"/>
        <family val="3"/>
        <charset val="129"/>
      </rPr>
      <t>주</t>
    </r>
    <r>
      <rPr>
        <sz val="11"/>
        <color theme="1"/>
        <rFont val="Calibri"/>
        <family val="2"/>
      </rPr>
      <t xml:space="preserve"> </t>
    </r>
    <r>
      <rPr>
        <sz val="11"/>
        <color theme="1"/>
        <rFont val="돋움"/>
        <family val="3"/>
        <charset val="129"/>
      </rPr>
      <t>예측</t>
    </r>
    <r>
      <rPr>
        <sz val="11"/>
        <color theme="1"/>
        <rFont val="Calibri"/>
        <family val="2"/>
      </rPr>
      <t xml:space="preserve"> </t>
    </r>
    <r>
      <rPr>
        <sz val="11"/>
        <color theme="1"/>
        <rFont val="돋움"/>
        <family val="3"/>
        <charset val="129"/>
      </rPr>
      <t>오차</t>
    </r>
    <r>
      <rPr>
        <sz val="11"/>
        <color theme="1"/>
        <rFont val="Calibri"/>
        <family val="2"/>
      </rPr>
      <t xml:space="preserve"> </t>
    </r>
    <r>
      <rPr>
        <sz val="11"/>
        <color theme="1"/>
        <rFont val="돋움"/>
        <family val="3"/>
        <charset val="129"/>
      </rPr>
      <t>제곱</t>
    </r>
    <phoneticPr fontId="5" type="noConversion"/>
  </si>
  <si>
    <t>MAD</t>
  </si>
  <si>
    <t>MAD</t>
    <phoneticPr fontId="5" type="noConversion"/>
  </si>
  <si>
    <t>MSE</t>
    <phoneticPr fontId="5" type="noConversion"/>
  </si>
  <si>
    <t>T</t>
    <phoneticPr fontId="5" type="noConversion"/>
  </si>
  <si>
    <r>
      <t>5</t>
    </r>
    <r>
      <rPr>
        <sz val="11"/>
        <color theme="1"/>
        <rFont val="맑은 고딕"/>
        <family val="2"/>
      </rPr>
      <t>주</t>
    </r>
    <r>
      <rPr>
        <sz val="11"/>
        <color theme="1"/>
        <rFont val="Calibri"/>
        <family val="2"/>
      </rPr>
      <t xml:space="preserve"> </t>
    </r>
    <r>
      <rPr>
        <sz val="11"/>
        <color theme="1"/>
        <rFont val="맑은 고딕"/>
        <family val="2"/>
      </rPr>
      <t>예측</t>
    </r>
    <r>
      <rPr>
        <sz val="11"/>
        <color theme="1"/>
        <rFont val="Calibri"/>
        <family val="2"/>
      </rPr>
      <t xml:space="preserve"> </t>
    </r>
    <r>
      <rPr>
        <sz val="11"/>
        <color theme="1"/>
        <rFont val="맑은 고딕"/>
        <family val="2"/>
      </rPr>
      <t>오차</t>
    </r>
    <r>
      <rPr>
        <sz val="11"/>
        <color theme="1"/>
        <rFont val="Calibri"/>
        <family val="2"/>
      </rPr>
      <t xml:space="preserve"> </t>
    </r>
    <r>
      <rPr>
        <sz val="11"/>
        <color theme="1"/>
        <rFont val="맑은 고딕"/>
        <family val="2"/>
      </rPr>
      <t>제곱</t>
    </r>
    <phoneticPr fontId="5" type="noConversion"/>
  </si>
  <si>
    <r>
      <rPr>
        <sz val="11"/>
        <color theme="1"/>
        <rFont val="돋움"/>
        <family val="3"/>
        <charset val="129"/>
      </rPr>
      <t>기간</t>
    </r>
    <r>
      <rPr>
        <sz val="11"/>
        <color theme="1"/>
        <rFont val="Calibri"/>
        <family val="2"/>
      </rPr>
      <t>(</t>
    </r>
    <r>
      <rPr>
        <sz val="11"/>
        <color theme="1"/>
        <rFont val="돋움"/>
        <family val="3"/>
        <charset val="129"/>
      </rPr>
      <t>주간</t>
    </r>
    <r>
      <rPr>
        <sz val="11"/>
        <color theme="1"/>
        <rFont val="Calibri"/>
        <family val="2"/>
      </rPr>
      <t>)</t>
    </r>
    <phoneticPr fontId="5" type="noConversion"/>
  </si>
  <si>
    <t>n=짝수인 경우 중심 이동 평균</t>
  </si>
  <si>
    <t>2주예측값</t>
  </si>
  <si>
    <t>중심이동평균</t>
  </si>
  <si>
    <t>지수평활법</t>
  </si>
  <si>
    <t>이동평균법</t>
    <phoneticPr fontId="5" type="noConversion"/>
  </si>
  <si>
    <t>11주 매출 예측</t>
    <phoneticPr fontId="5" type="noConversion"/>
  </si>
  <si>
    <t>예측값(α=0.1)</t>
  </si>
  <si>
    <t>예측 오차</t>
    <phoneticPr fontId="5" type="noConversion"/>
  </si>
  <si>
    <t>예측값(α=0.9)</t>
  </si>
  <si>
    <t>절대값
(예측오차)</t>
    <phoneticPr fontId="5" type="noConversion"/>
  </si>
  <si>
    <t>절대값
(예측오차) 제곱</t>
    <phoneticPr fontId="5" type="noConversion"/>
  </si>
  <si>
    <t>2001년 4월 실제값</t>
    <phoneticPr fontId="5" type="noConversion"/>
  </si>
  <si>
    <t>2001년 4월 회귀식 예측값</t>
    <phoneticPr fontId="5" type="noConversion"/>
  </si>
  <si>
    <t>잔차 예측값</t>
    <phoneticPr fontId="5" type="noConversion"/>
  </si>
  <si>
    <t>반영후</t>
    <phoneticPr fontId="5" type="noConversion"/>
  </si>
  <si>
    <t>최종 오차</t>
    <phoneticPr fontId="5" type="noConversion"/>
  </si>
  <si>
    <r>
      <t xml:space="preserve">expSmooth </t>
    </r>
    <r>
      <rPr>
        <sz val="11"/>
        <color rgb="FF000000"/>
        <rFont val="Consolas"/>
        <family val="3"/>
      </rPr>
      <t>=</t>
    </r>
    <r>
      <rPr>
        <sz val="11"/>
        <color rgb="FF3B3B3B"/>
        <rFont val="Consolas"/>
        <family val="3"/>
      </rPr>
      <t xml:space="preserve"> ExponentialSmoothing(train_ts, </t>
    </r>
    <r>
      <rPr>
        <sz val="11"/>
        <color rgb="FF001080"/>
        <rFont val="Consolas"/>
        <family val="3"/>
      </rPr>
      <t>trend</t>
    </r>
    <r>
      <rPr>
        <sz val="11"/>
        <color rgb="FF000000"/>
        <rFont val="Consolas"/>
        <family val="3"/>
      </rPr>
      <t>=</t>
    </r>
    <r>
      <rPr>
        <sz val="11"/>
        <color rgb="FFA31515"/>
        <rFont val="Consolas"/>
        <family val="3"/>
      </rPr>
      <t>'additive'</t>
    </r>
    <r>
      <rPr>
        <sz val="11"/>
        <color rgb="FF3B3B3B"/>
        <rFont val="Consolas"/>
        <family val="3"/>
      </rPr>
      <t xml:space="preserve">, </t>
    </r>
    <r>
      <rPr>
        <sz val="11"/>
        <color rgb="FF001080"/>
        <rFont val="Consolas"/>
        <family val="3"/>
      </rPr>
      <t>seasonal</t>
    </r>
    <r>
      <rPr>
        <sz val="11"/>
        <color rgb="FF000000"/>
        <rFont val="Consolas"/>
        <family val="3"/>
      </rPr>
      <t>=</t>
    </r>
    <r>
      <rPr>
        <sz val="11"/>
        <color rgb="FFA31515"/>
        <rFont val="Consolas"/>
        <family val="3"/>
      </rPr>
      <t>'additive'</t>
    </r>
    <r>
      <rPr>
        <sz val="11"/>
        <color rgb="FF3B3B3B"/>
        <rFont val="Consolas"/>
        <family val="3"/>
      </rPr>
      <t xml:space="preserve">, </t>
    </r>
    <r>
      <rPr>
        <sz val="11"/>
        <color rgb="FF001080"/>
        <rFont val="Consolas"/>
        <family val="3"/>
      </rPr>
      <t>seasonal_periods</t>
    </r>
    <r>
      <rPr>
        <sz val="11"/>
        <color rgb="FF000000"/>
        <rFont val="Consolas"/>
        <family val="3"/>
      </rPr>
      <t>=</t>
    </r>
    <r>
      <rPr>
        <sz val="11"/>
        <color rgb="FF098658"/>
        <rFont val="Consolas"/>
        <family val="3"/>
      </rPr>
      <t>12</t>
    </r>
    <r>
      <rPr>
        <sz val="11"/>
        <color rgb="FF3B3B3B"/>
        <rFont val="Consolas"/>
        <family val="3"/>
      </rPr>
      <t xml:space="preserve">, </t>
    </r>
    <r>
      <rPr>
        <sz val="11"/>
        <color rgb="FF001080"/>
        <rFont val="Consolas"/>
        <family val="3"/>
      </rPr>
      <t>freq</t>
    </r>
    <r>
      <rPr>
        <sz val="11"/>
        <color rgb="FF000000"/>
        <rFont val="Consolas"/>
        <family val="3"/>
      </rPr>
      <t>=</t>
    </r>
    <r>
      <rPr>
        <sz val="11"/>
        <color rgb="FFA31515"/>
        <rFont val="Consolas"/>
        <family val="3"/>
      </rPr>
      <t>'MS'</t>
    </r>
    <r>
      <rPr>
        <sz val="11"/>
        <color rgb="FF3B3B3B"/>
        <rFont val="Consolas"/>
        <family val="3"/>
      </rPr>
      <t>)</t>
    </r>
  </si>
  <si>
    <t>vs</t>
    <phoneticPr fontId="5" type="noConversion"/>
  </si>
  <si>
    <r>
      <t>seasonal='multiplicative'</t>
    </r>
    <r>
      <rPr>
        <b/>
        <sz val="13.5"/>
        <color theme="1"/>
        <rFont val="맑은 고딕"/>
        <family val="3"/>
        <charset val="129"/>
        <scheme val="minor"/>
      </rPr>
      <t>의 의미</t>
    </r>
  </si>
  <si>
    <r>
      <t>곱셈적 계절성</t>
    </r>
    <r>
      <rPr>
        <sz val="11"/>
        <color theme="1"/>
        <rFont val="맑은 고딕"/>
        <family val="2"/>
        <scheme val="minor"/>
      </rPr>
      <t>: 계절의 영향을 데이터 수준에 따라 비례적으로 조정합니다. 즉, 계절적 패턴이 데이터의 크기에 따라 달라진다는 것입니다.</t>
    </r>
  </si>
  <si>
    <t>예를 들어, 판매 데이터가 계절적 요인에 따라 달라지는데, 여름철에는 판매량이 증가하고, 겨울철에는 감소한다고 가정할 때:</t>
  </si>
  <si>
    <r>
      <t>판매량</t>
    </r>
    <r>
      <rPr>
        <sz val="11"/>
        <color theme="1"/>
        <rFont val="맑은 고딕"/>
        <family val="2"/>
        <scheme val="minor"/>
      </rPr>
      <t>이 1000 단위일 때 여름에 1.5배 증가(1500 단위), 겨울에 0.8배 감소(800 단위)하는 식으로 변동합니다.</t>
    </r>
  </si>
  <si>
    <r>
      <t>적합한 경우</t>
    </r>
    <r>
      <rPr>
        <sz val="11"/>
        <color theme="1"/>
        <rFont val="맑은 고딕"/>
        <family val="2"/>
        <scheme val="minor"/>
      </rPr>
      <t>: 계절성이 데이터의 평균 수준에 따라 달라지는 경우에 유용합니다. 예를 들어, 매출, 방문자 수 등에서 계절적 요인이 클 때 사용됩니다.</t>
    </r>
  </si>
  <si>
    <r>
      <t xml:space="preserve">expSmooth = ExponentialSmoothing(train_ts, trend='additive', </t>
    </r>
    <r>
      <rPr>
        <sz val="11"/>
        <color rgb="FFFF0000"/>
        <rFont val="맑은 고딕"/>
        <family val="3"/>
        <charset val="129"/>
        <scheme val="minor"/>
      </rPr>
      <t>seasonal='multiplicative'</t>
    </r>
    <r>
      <rPr>
        <sz val="11"/>
        <color theme="1"/>
        <rFont val="맑은 고딕"/>
        <family val="2"/>
        <scheme val="minor"/>
      </rPr>
      <t>, seasonal_periods=12, freq='MS')</t>
    </r>
    <phoneticPr fontId="5" type="noConversion"/>
  </si>
  <si>
    <t>다층 퍼셉트론 구현</t>
    <phoneticPr fontId="5" type="noConversion"/>
  </si>
  <si>
    <t>은닉층(hidden layer)</t>
    <phoneticPr fontId="5" type="noConversion"/>
  </si>
  <si>
    <t>C:\ex\py\dl\python-machine-learning-book-3rd-edition-master\python-machine-learning-book-3rd-edition-master\ch12\ch12.ipynb</t>
    <phoneticPr fontId="5" type="noConversion"/>
  </si>
  <si>
    <t>X</t>
    <phoneticPr fontId="5" type="noConversion"/>
  </si>
  <si>
    <t>y</t>
    <phoneticPr fontId="5" type="noConversion"/>
  </si>
  <si>
    <t>epochs</t>
    <phoneticPr fontId="5" type="noConversion"/>
  </si>
  <si>
    <t>출력층</t>
    <phoneticPr fontId="5" type="noConversion"/>
  </si>
  <si>
    <t>학습률</t>
    <phoneticPr fontId="5" type="noConversion"/>
  </si>
  <si>
    <r>
      <t>learning_rate_init</t>
    </r>
    <r>
      <rPr>
        <i/>
        <sz val="12"/>
        <color rgb="FF48566B"/>
        <rFont val="Consolas"/>
        <family val="3"/>
      </rPr>
      <t>=0.001</t>
    </r>
  </si>
  <si>
    <t>shuffle</t>
    <phoneticPr fontId="5" type="noConversion"/>
  </si>
  <si>
    <t>minibatch_size=1</t>
    <phoneticPr fontId="5" type="noConversion"/>
  </si>
  <si>
    <t>batch_sizeint, default=’auto’</t>
    <phoneticPr fontId="5" type="noConversion"/>
  </si>
  <si>
    <t>Size of minibatches for stochastic optimizers. If the solver is ‘lbfgs’, the classifier will not use minibatch. When set to “auto”, batch_size=min(200, n_samples)</t>
    <phoneticPr fontId="5" type="noConversion"/>
  </si>
  <si>
    <t>https://docs.google.com/spreadsheets/d/1nlyKdyx8xhpQJmAEUT4eI7Z-f3-AOfBw/edit?gid=1130773706#gid=1130773706 최적화 참고</t>
    <phoneticPr fontId="5" type="noConversion"/>
  </si>
  <si>
    <t>‘lbfgs’</t>
  </si>
  <si>
    <t>신경망 하이퍼라미터 튜닝</t>
  </si>
  <si>
    <t>층의 개수, 층마다 있는 뉴런의 개수, 각 층에서 사용하는 활성화 함수, 가중치 초기화 전략</t>
  </si>
  <si>
    <t>하이퍼파라미터 최적화 라이브러리 : Hyperopt, Hyperas, kopt, Talos, 케라스 튜너, Scikit-Optimize(skopt),Spearmint, Hyperband, Sklearn-Deap</t>
  </si>
  <si>
    <t>:</t>
  </si>
  <si>
    <t>은닉층 개수</t>
  </si>
  <si>
    <t>MNIST</t>
  </si>
  <si>
    <t>성능향상</t>
  </si>
  <si>
    <t>모멘텀</t>
  </si>
  <si>
    <t>활성함수</t>
  </si>
  <si>
    <t>규제기법</t>
  </si>
  <si>
    <t>데이터 확대</t>
  </si>
  <si>
    <t>앙상블</t>
  </si>
  <si>
    <t>딥러닝 최적화</t>
    <phoneticPr fontId="5" type="noConversion"/>
  </si>
  <si>
    <t>에포크를 시작하기 전에 훈련 데이터를 섞을지 여부</t>
    <phoneticPr fontId="5" type="noConversion"/>
  </si>
  <si>
    <t xml:space="preserve">l2 </t>
    <phoneticPr fontId="5" type="noConversion"/>
  </si>
  <si>
    <t>batch_size</t>
  </si>
  <si>
    <t>에포크마다 훈련 데이터셋을 나눈 미니 배치에 들어갈 훈련 샘플 개수</t>
    <phoneticPr fontId="5" type="noConversion"/>
  </si>
  <si>
    <t>전체 훈련 데이터셋에서 그레이디언트를 계산하지 않고 학습 속도를 높이기 위해 미니배치마다 계산함</t>
    <phoneticPr fontId="5" type="noConversion"/>
  </si>
  <si>
    <t>과대적합을 줄이기 위한 L2규제의    파라미터</t>
    <phoneticPr fontId="5" type="noConversion"/>
  </si>
  <si>
    <t>작업마다 사용하면 좋은 기법은 다르며, 선택에 명확한 기준은 없습니다. 하지만 아래 정리한 데로 하면 하이퍼튜닝을 크게 하지 않고 대부분의 경우에 잘 맞는 설정이나, 이 기본값을 고정된 규칙으로 생각하지는 마세요!</t>
  </si>
  <si>
    <t>기본 DNN 설정</t>
  </si>
  <si>
    <t>하이퍼파라미터</t>
  </si>
  <si>
    <t>기본값</t>
  </si>
  <si>
    <t>가중치(커널) 초기화</t>
  </si>
  <si>
    <t>He 초기화</t>
  </si>
  <si>
    <t>활성화 함수</t>
  </si>
  <si>
    <t>ELU</t>
  </si>
  <si>
    <t>정규화</t>
  </si>
  <si>
    <t>얕은 신경일 경우 없음, 깊은 신경망이라면 배치 정규화</t>
  </si>
  <si>
    <t>규제</t>
  </si>
  <si>
    <t>조기 종료(필요하면 l2 규제 추가)</t>
  </si>
  <si>
    <t>옵티마이저</t>
  </si>
  <si>
    <t>모멘텀 최적화(또는 RMSProp이나 Nadam)</t>
  </si>
  <si>
    <t>자기정규화를 위한 DNN 설정(네트워크가 완전 연결 층을 쌓은 단순한 모델)</t>
  </si>
  <si>
    <t>르쿤 초기화</t>
  </si>
  <si>
    <t>SELU</t>
  </si>
  <si>
    <t>없음(자기정규화)</t>
  </si>
  <si>
    <t>필요하다면 알파 드랍아웃</t>
  </si>
  <si>
    <t>https://docs.google.com/spreadsheets/d/1nlyKdyx8xhpQJmAEUT4eI7Z-f3-AOfBw/edit?gid=1130773706#gid=1130773706</t>
    <phoneticPr fontId="5" type="noConversion"/>
  </si>
  <si>
    <t>가중치 초기화 전략</t>
  </si>
  <si>
    <t>참조</t>
    <phoneticPr fontId="5" type="noConversion"/>
  </si>
  <si>
    <t>norm</t>
    <phoneticPr fontId="5" type="noConversion"/>
  </si>
  <si>
    <r>
      <t>tf</t>
    </r>
    <r>
      <rPr>
        <sz val="11"/>
        <color rgb="FF3B3B3B"/>
        <rFont val="Consolas"/>
        <family val="3"/>
      </rPr>
      <t>.</t>
    </r>
    <r>
      <rPr>
        <sz val="11"/>
        <color rgb="FF795E26"/>
        <rFont val="Consolas"/>
        <family val="3"/>
      </rPr>
      <t>split</t>
    </r>
    <r>
      <rPr>
        <sz val="11"/>
        <color rgb="FF3B3B3B"/>
        <rFont val="Consolas"/>
        <family val="3"/>
      </rPr>
      <t>(</t>
    </r>
    <r>
      <rPr>
        <sz val="11"/>
        <color rgb="FF001080"/>
        <rFont val="Consolas"/>
        <family val="3"/>
      </rPr>
      <t>t</t>
    </r>
    <r>
      <rPr>
        <sz val="11"/>
        <color rgb="FF3B3B3B"/>
        <rFont val="Consolas"/>
        <family val="3"/>
      </rPr>
      <t xml:space="preserve">, </t>
    </r>
    <r>
      <rPr>
        <sz val="11"/>
        <color rgb="FF098658"/>
        <rFont val="Consolas"/>
        <family val="3"/>
      </rPr>
      <t>3</t>
    </r>
    <r>
      <rPr>
        <sz val="11"/>
        <color rgb="FF3B3B3B"/>
        <rFont val="Consolas"/>
        <family val="3"/>
      </rPr>
      <t>)</t>
    </r>
  </si>
  <si>
    <t>[0.165, 0.901, 0.631, 0.435, 0.292, 0.643]</t>
    <phoneticPr fontId="5" type="noConversion"/>
  </si>
  <si>
    <t>[0.165, 0.901]</t>
    <phoneticPr fontId="5" type="noConversion"/>
  </si>
  <si>
    <t>[0.631, 0.435]</t>
    <phoneticPr fontId="5" type="noConversion"/>
  </si>
  <si>
    <t>[0.292, 0.643]</t>
    <phoneticPr fontId="5" type="noConversion"/>
  </si>
  <si>
    <t>Leaky ReLU</t>
    <phoneticPr fontId="5" type="noConversion"/>
  </si>
  <si>
    <t>ReLU를 약간 변형한 것</t>
    <phoneticPr fontId="5" type="noConversion"/>
  </si>
  <si>
    <t>f(z) = max(</t>
    <phoneticPr fontId="5" type="noConversion"/>
  </si>
  <si>
    <t>𝜀</t>
    <phoneticPr fontId="5" type="noConversion"/>
  </si>
  <si>
    <t>는 함수의 기울기를 조절하는 하이퍼파라미터</t>
    <phoneticPr fontId="5" type="noConversion"/>
  </si>
  <si>
    <t>0과 1사이의 값을 갖습니다.</t>
    <phoneticPr fontId="5" type="noConversion"/>
  </si>
  <si>
    <t>일반적으로 0.01의 값이 사용됨</t>
    <phoneticPr fontId="5" type="noConversion"/>
  </si>
  <si>
    <t>z</t>
    <phoneticPr fontId="5" type="noConversion"/>
  </si>
  <si>
    <t>f(z)</t>
    <phoneticPr fontId="5" type="noConversion"/>
  </si>
  <si>
    <t>0.04 𝑧</t>
    <phoneticPr fontId="5" type="noConversion"/>
  </si>
  <si>
    <t>Parametic ReLU</t>
    <phoneticPr fontId="5" type="noConversion"/>
  </si>
  <si>
    <t>형태는 Leaky ReLU와 동일</t>
    <phoneticPr fontId="5" type="noConversion"/>
  </si>
  <si>
    <t>이 하이퍼파라미터가 아니라 학습을 통해 결정되는 파라미터</t>
    <phoneticPr fontId="5" type="noConversion"/>
  </si>
  <si>
    <t>해당함수를 PReLU 함수라고 함</t>
    <phoneticPr fontId="5" type="noConversion"/>
  </si>
  <si>
    <t>ReLU는 "Rectified Linear Unit"의 약자로, 주로 인공 신경망에서 사용되는 활성화 함수입니다. 이 함수의 어원과 유래는 다음과 같습니다:</t>
  </si>
  <si>
    <t>어원</t>
  </si>
  <si>
    <r>
      <t>Rectified</t>
    </r>
    <r>
      <rPr>
        <sz val="11"/>
        <color theme="1"/>
        <rFont val="맑은 고딕"/>
        <family val="2"/>
        <scheme val="minor"/>
      </rPr>
      <t>: "정류된"이라는 뜻으로, 부정적인 값을 0으로 변환하는 과정을 나타냅니다.</t>
    </r>
  </si>
  <si>
    <r>
      <t>Linear</t>
    </r>
    <r>
      <rPr>
        <sz val="11"/>
        <color theme="1"/>
        <rFont val="맑은 고딕"/>
        <family val="2"/>
        <scheme val="minor"/>
      </rPr>
      <t>: 선형성을 의미하며, 입력값이 0보다 클 경우 입력값을 그대로 출력합니다.</t>
    </r>
  </si>
  <si>
    <r>
      <t>Unit</t>
    </r>
    <r>
      <rPr>
        <sz val="11"/>
        <color theme="1"/>
        <rFont val="맑은 고딕"/>
        <family val="2"/>
        <scheme val="minor"/>
      </rPr>
      <t>: 이 경우 단위를 의미하며, 활성화 함수의 일종임을 나타냅니다.</t>
    </r>
  </si>
  <si>
    <t>유래</t>
  </si>
  <si>
    <t>ReLU 함수는 2010년대 초에 인공 신경망의 성능을 향상시키기 위해 개발되었습니다. 전통적인 활성화 함수인 시그모이드나 하이퍼볼릭 탄젠트 함수에 비해 다음과 같은 장점이 있습니다:</t>
  </si>
  <si>
    <r>
      <t>비선형성</t>
    </r>
    <r>
      <rPr>
        <sz val="11"/>
        <color theme="1"/>
        <rFont val="맑은 고딕"/>
        <family val="2"/>
        <scheme val="minor"/>
      </rPr>
      <t>: 입력값이 비선형적으로 변환되어, 신경망이 더 복잡한 함수 근사를 할 수 있게 됩니다.</t>
    </r>
  </si>
  <si>
    <r>
      <t>기울기 소실 문제 감소</t>
    </r>
    <r>
      <rPr>
        <sz val="11"/>
        <color theme="1"/>
        <rFont val="맑은 고딕"/>
        <family val="2"/>
        <scheme val="minor"/>
      </rPr>
      <t>: ReLU는 0 이하의 입력에 대해 기울기가 0이 되어, 깊은 네트워크에서 발생할 수 있는 기울기 소실 문제를 완화합니다.</t>
    </r>
  </si>
  <si>
    <t>이러한 이유로 ReLU는 현대 딥러닝 모델에서 널리 사용되고 있습니다.</t>
  </si>
  <si>
    <t>"정류된"이라는 단어는 전기 및 신호 처리에서 유래된 개념으로, 특정 방향으로만 신호를 전달하는 과정을 의미합니다.</t>
  </si>
  <si>
    <t>의미</t>
  </si>
  <si>
    <r>
      <t>정류</t>
    </r>
    <r>
      <rPr>
        <sz val="11"/>
        <color theme="1"/>
        <rFont val="맑은 고딕"/>
        <family val="2"/>
        <scheme val="minor"/>
      </rPr>
      <t>: 원래의 신호에서 불필요한 부분(예: 부정적인 값)을 제거하고 필요한 부분(양수 값)만을 남기는 작업입니다.</t>
    </r>
  </si>
  <si>
    <r>
      <t>활성화 함수에서의 사용</t>
    </r>
    <r>
      <rPr>
        <sz val="11"/>
        <color theme="1"/>
        <rFont val="맑은 고딕"/>
        <family val="2"/>
        <scheme val="minor"/>
      </rPr>
      <t>: ReLU 함수에서는 입력값이 0보다 작을 경우 0으로 "정류"하여, 신경망이 특정 방향 (양수 방향)으로만 활성화될 수 있도록 합니다.</t>
    </r>
  </si>
  <si>
    <t>이러한 정류 과정은 신경망의 학습과 성능에 긍정적인 영향을 미치게 됩니다.</t>
  </si>
  <si>
    <t xml:space="preserve">f(z) = </t>
    <phoneticPr fontId="5" type="noConversion"/>
  </si>
  <si>
    <t>시그모이드 또는 tanh 함수 등을 활성화 함수로 사용하면 편미분값이 0에 가까워질 수 있어</t>
    <phoneticPr fontId="5" type="noConversion"/>
  </si>
  <si>
    <t>경사소실(vanishing gradient) 문제가 발생함</t>
    <phoneticPr fontId="5" type="noConversion"/>
  </si>
  <si>
    <t>이러한 이유로 은닉층이 많은 경우에는 시그모이드나 tanh 함수를 활성화 함수로 잘 사용 않습니다.</t>
    <phoneticPr fontId="5" type="noConversion"/>
  </si>
  <si>
    <t>경사 폭발 문제</t>
    <phoneticPr fontId="5" type="noConversion"/>
  </si>
  <si>
    <t>ReLU에 비해 속도가 느리다는 단점</t>
    <phoneticPr fontId="5" type="noConversion"/>
  </si>
  <si>
    <t>옵티마이저</t>
    <phoneticPr fontId="5" type="noConversion"/>
  </si>
  <si>
    <t>모멘텀</t>
    <phoneticPr fontId="5" type="noConversion"/>
  </si>
  <si>
    <t>기계학습 5장 참조</t>
    <phoneticPr fontId="5" type="noConversion"/>
  </si>
  <si>
    <t>NAG는 "Nesterov Accelerated Gradient"의 약자로, 네스테로프 모멘텀을 의미합니다.</t>
  </si>
  <si>
    <t>특징</t>
  </si>
  <si>
    <r>
      <t>모멘텀</t>
    </r>
    <r>
      <rPr>
        <sz val="11"/>
        <color theme="1"/>
        <rFont val="맑은 고딕"/>
        <family val="2"/>
        <scheme val="minor"/>
      </rPr>
      <t>: 과거의 기울기를 사용하여 현재의 업데이트 방향을 개선합니다.</t>
    </r>
  </si>
  <si>
    <r>
      <t>예측적 업데이트</t>
    </r>
    <r>
      <rPr>
        <sz val="11"/>
        <color theme="1"/>
        <rFont val="맑은 고딕"/>
        <family val="2"/>
        <scheme val="minor"/>
      </rPr>
      <t>: 현재 위치에서의 기울기를 계산하기 전에 모멘텀을 적용하여 미리 예측된 위치에서 기울기를 계산합니다.</t>
    </r>
  </si>
  <si>
    <r>
      <t>수렴 속도 향상</t>
    </r>
    <r>
      <rPr>
        <sz val="11"/>
        <color theme="1"/>
        <rFont val="맑은 고딕"/>
        <family val="2"/>
        <scheme val="minor"/>
      </rPr>
      <t>: NAG는 일반적인 모멘텀 방법보다 더 빠르고 안정적인 수렴을 제공합니다.</t>
    </r>
  </si>
  <si>
    <r>
      <t>최적화 성능 향상</t>
    </r>
    <r>
      <rPr>
        <sz val="11"/>
        <color theme="1"/>
        <rFont val="맑은 고딕"/>
        <family val="2"/>
        <scheme val="minor"/>
      </rPr>
      <t>: 복잡한 비용 함수에 대해 더 효과적으로 작동합니다.</t>
    </r>
  </si>
  <si>
    <t>이 방식은 특히 딥러닝과 같은 복잡한 최적화 문제에서 널리 사용됩니다.</t>
  </si>
  <si>
    <r>
      <t>누적 기울기</t>
    </r>
    <r>
      <rPr>
        <sz val="11"/>
        <color theme="1"/>
        <rFont val="맑은 고딕"/>
        <family val="2"/>
        <scheme val="minor"/>
      </rPr>
      <t>: 이전 기울기의 제곱합을 기반으로 학습률을 계산하여, 자주 업데이트되는 파라미터에는 작은 학습률이 적용됩니다.</t>
    </r>
  </si>
  <si>
    <r>
      <t>효율적인 학습</t>
    </r>
    <r>
      <rPr>
        <sz val="11"/>
        <color theme="1"/>
        <rFont val="맑은 고딕"/>
        <family val="2"/>
        <scheme val="minor"/>
      </rPr>
      <t>: 희소 데이터에서 효과적으로 작동하며, 학습 속도를 조절하여 더 나은 수렴 특성을 제공합니다.</t>
    </r>
  </si>
  <si>
    <t>AdaGrad는 특히 자연어 처리와 같은 분야에서 널리 사용되며, 이후에 발전된 알고리즘인 RMSProp과 Adam의 기초가 되기도 했습니다.</t>
  </si>
  <si>
    <t>적응적 학습률(AdaGrad)</t>
    <phoneticPr fontId="5" type="noConversion"/>
  </si>
  <si>
    <t>RMSProp</t>
    <phoneticPr fontId="5" type="noConversion"/>
  </si>
  <si>
    <t>Adadelta</t>
    <phoneticPr fontId="5" type="noConversion"/>
  </si>
  <si>
    <t>Adam</t>
    <phoneticPr fontId="5" type="noConversion"/>
  </si>
  <si>
    <t>배치 정규화</t>
    <phoneticPr fontId="5" type="noConversion"/>
  </si>
  <si>
    <t>규제의 필요성과 원리</t>
    <phoneticPr fontId="5" type="noConversion"/>
  </si>
  <si>
    <t>조기 멈춤</t>
    <phoneticPr fontId="5" type="noConversion"/>
  </si>
  <si>
    <t>데이터 확대</t>
    <phoneticPr fontId="5" type="noConversion"/>
  </si>
  <si>
    <t>드롭아웃</t>
    <phoneticPr fontId="5" type="noConversion"/>
  </si>
  <si>
    <t>앙상블 기법</t>
    <phoneticPr fontId="5" type="noConversion"/>
  </si>
  <si>
    <t>하이퍼 매개변수 최적화</t>
    <phoneticPr fontId="5" type="noConversion"/>
  </si>
  <si>
    <t>이미지 데이터 분석에서 자주 사용</t>
    <phoneticPr fontId="5" type="noConversion"/>
  </si>
  <si>
    <t>텍스트 데이터 등의 시퀀스 데이터 분석에서 자주 사용, 트랜스포머에서 사용함</t>
    <phoneticPr fontId="5" type="noConversion"/>
  </si>
  <si>
    <t>하나의 관측치에 대해 특정 은닉층에 존재하는 모든 노드에 들어가는 값을 이용해 표준화 하는 방법</t>
    <phoneticPr fontId="5" type="noConversion"/>
  </si>
  <si>
    <t>신경망에서의 배치 정규화(Batch Normalization)와 계측 정규화(Layer Normalization)는 서로 다른 방식으로 정규화를 수행합니다.</t>
  </si>
  <si>
    <t>배치 정규화 (Batch Normalization)</t>
  </si>
  <si>
    <r>
      <t>정규화 방향</t>
    </r>
    <r>
      <rPr>
        <sz val="11"/>
        <color theme="1"/>
        <rFont val="맑은 고딕"/>
        <family val="2"/>
        <scheme val="minor"/>
      </rPr>
      <t>: 배치 정규화는 미니배치 단위로 각 특성(feature)을 정규화합니다. 즉, 각 은닉층의 출력이 동일한 배치 내에서 평균과 분산을 기준으로 정규화됩니다.</t>
    </r>
  </si>
  <si>
    <r>
      <t>주요 목적</t>
    </r>
    <r>
      <rPr>
        <sz val="11"/>
        <color theme="1"/>
        <rFont val="맑은 고딕"/>
        <family val="2"/>
        <scheme val="minor"/>
      </rPr>
      <t>: 학습 속도를 높이고, 내부 공변량 변화(Internal Covariate Shift)를 줄여 더 안정적인 학습을 도모합니다.</t>
    </r>
  </si>
  <si>
    <t>계측 정규화 (Layer Normalization)</t>
  </si>
  <si>
    <r>
      <t>정규화 방향</t>
    </r>
    <r>
      <rPr>
        <sz val="11"/>
        <color theme="1"/>
        <rFont val="맑은 고딕"/>
        <family val="2"/>
        <scheme val="minor"/>
      </rPr>
      <t>: 계측 정규화는 각 샘플의 모든 특성을 기준으로 정규화합니다. 즉, 각 샘플의 출력에 대해 평균과 분산을 계산하여 정규화합니다.</t>
    </r>
  </si>
  <si>
    <r>
      <t>주요 목적</t>
    </r>
    <r>
      <rPr>
        <sz val="11"/>
        <color theme="1"/>
        <rFont val="맑은 고딕"/>
        <family val="2"/>
        <scheme val="minor"/>
      </rPr>
      <t>: RNN과 같은 순차 모델에서 특히 유용하며, 각 샘플의 특성 간의 상관관계를 고려하여 더 나은 성능을 발휘합니다.</t>
    </r>
  </si>
  <si>
    <t>이 두 가지 기법은 신경망의 성능을 향상시키는 데 중요한 역할을 합니다.</t>
  </si>
  <si>
    <t>배치 정규화는 가로 방향(배치 내 특성 정규화)으로 정규화하며,</t>
  </si>
  <si>
    <t>2차 미분을 이용한 최적화</t>
    <phoneticPr fontId="5" type="noConversion"/>
  </si>
  <si>
    <r>
      <rPr>
        <b/>
        <sz val="11"/>
        <color rgb="FF000000"/>
        <rFont val="돋움"/>
        <family val="3"/>
        <charset val="129"/>
      </rPr>
      <t>데이터</t>
    </r>
    <r>
      <rPr>
        <b/>
        <sz val="11"/>
        <color rgb="FF000000"/>
        <rFont val="Calibri"/>
        <family val="2"/>
      </rPr>
      <t xml:space="preserve"> </t>
    </r>
    <r>
      <rPr>
        <b/>
        <sz val="11"/>
        <color rgb="FF000000"/>
        <rFont val="돋움"/>
        <family val="3"/>
        <charset val="129"/>
      </rPr>
      <t>전처리</t>
    </r>
    <phoneticPr fontId="5" type="noConversion"/>
  </si>
  <si>
    <r>
      <rPr>
        <b/>
        <sz val="11"/>
        <color theme="1"/>
        <rFont val="돋움"/>
        <family val="3"/>
        <charset val="129"/>
      </rPr>
      <t>가중치</t>
    </r>
    <r>
      <rPr>
        <b/>
        <sz val="11"/>
        <color theme="1"/>
        <rFont val="Calibri"/>
        <family val="2"/>
      </rPr>
      <t xml:space="preserve"> </t>
    </r>
    <r>
      <rPr>
        <b/>
        <sz val="11"/>
        <color theme="1"/>
        <rFont val="돋움"/>
        <family val="3"/>
        <charset val="129"/>
      </rPr>
      <t>벌칙</t>
    </r>
    <phoneticPr fontId="5" type="noConversion"/>
  </si>
  <si>
    <r>
      <rPr>
        <b/>
        <sz val="11"/>
        <color rgb="FF000000"/>
        <rFont val="돋움"/>
        <family val="3"/>
        <charset val="129"/>
      </rPr>
      <t>배치</t>
    </r>
    <r>
      <rPr>
        <b/>
        <sz val="11"/>
        <color rgb="FF000000"/>
        <rFont val="Calibri"/>
        <family val="2"/>
      </rPr>
      <t xml:space="preserve"> </t>
    </r>
    <r>
      <rPr>
        <b/>
        <sz val="11"/>
        <color rgb="FF000000"/>
        <rFont val="돋움"/>
        <family val="3"/>
        <charset val="129"/>
      </rPr>
      <t>정규화</t>
    </r>
    <phoneticPr fontId="5" type="noConversion"/>
  </si>
  <si>
    <t>계층 정규화는 세로 방향(샘플 내 특성 정규화)으로 정규화합니다.</t>
    <phoneticPr fontId="5" type="noConversion"/>
  </si>
  <si>
    <t xml:space="preserve">  z      0     </t>
    <phoneticPr fontId="5" type="noConversion"/>
  </si>
  <si>
    <t>𝑎</t>
    <phoneticPr fontId="5" type="noConversion"/>
  </si>
  <si>
    <t>보통 0.1과 0.3 사이의 값을 갖습니다.</t>
    <phoneticPr fontId="5" type="noConversion"/>
  </si>
  <si>
    <t>ELU</t>
    <phoneticPr fontId="5" type="noConversion"/>
  </si>
  <si>
    <t>Exponential Linear Unit</t>
    <phoneticPr fontId="5" type="noConversion"/>
  </si>
  <si>
    <t>GELU</t>
    <phoneticPr fontId="5" type="noConversion"/>
  </si>
  <si>
    <t>Gaussian Error Unit</t>
    <phoneticPr fontId="5" type="noConversion"/>
  </si>
  <si>
    <t xml:space="preserve">f(z) = z </t>
    <phoneticPr fontId="5" type="noConversion"/>
  </si>
  <si>
    <t>표준 정규분포의 누적 분포 함수</t>
    <phoneticPr fontId="5" type="noConversion"/>
  </si>
  <si>
    <t>이미지 데이터</t>
    <phoneticPr fontId="5" type="noConversion"/>
  </si>
  <si>
    <t>텍스트 데이터</t>
    <phoneticPr fontId="5" type="noConversion"/>
  </si>
  <si>
    <t>그 대신 ReLU, LeakyReLU, ELU 함수 등을 사용</t>
    <phoneticPr fontId="5" type="noConversion"/>
  </si>
  <si>
    <t>일반화 오류를 줄이려는 의도를 가지고 학습 알고리즘을 수정하는 방법 모두”</t>
  </si>
  <si>
    <r>
      <t>§</t>
    </r>
    <r>
      <rPr>
        <sz val="16"/>
        <color rgb="FF000000"/>
        <rFont val="맑은 고딕"/>
        <family val="3"/>
        <charset val="129"/>
        <scheme val="minor"/>
      </rPr>
      <t>가중치 감쇠 기법</t>
    </r>
  </si>
  <si>
    <r>
      <t>•</t>
    </r>
    <r>
      <rPr>
        <sz val="16"/>
        <color rgb="FF000000"/>
        <rFont val="맑은 고딕"/>
        <family val="3"/>
        <charset val="129"/>
        <scheme val="minor"/>
      </rPr>
      <t>모델의 구조적 용량을 충분히 크게 하고, ‘수치적 용량’을 제한하는 규제 기법</t>
    </r>
  </si>
  <si>
    <r>
      <t>적응적 학습률</t>
    </r>
    <r>
      <rPr>
        <sz val="11"/>
        <color theme="1"/>
        <rFont val="맑은 고딕"/>
        <family val="2"/>
        <scheme val="minor"/>
      </rPr>
      <t xml:space="preserve">: 각 매개변수에 대해 개별적인 학습률을 조정하여, </t>
    </r>
    <r>
      <rPr>
        <sz val="11"/>
        <color rgb="FFFF0000"/>
        <rFont val="맑은 고딕"/>
        <family val="3"/>
        <charset val="129"/>
        <scheme val="minor"/>
      </rPr>
      <t>자주 업데이트되는 매개변수의 학습률을 줄이고, 드물게 업데이트되는 매개변수의 학습률을 높입니다.</t>
    </r>
    <phoneticPr fontId="5" type="noConversion"/>
  </si>
  <si>
    <r>
      <t>Adadelta</t>
    </r>
    <r>
      <rPr>
        <sz val="11"/>
        <color theme="1"/>
        <rFont val="맑은 고딕"/>
        <family val="2"/>
        <scheme val="minor"/>
      </rPr>
      <t>는 AdaGrad의 한계를 극복하기 위해 개발된 적응적 학습률 최적화 알고리즘입니다. Adadelta는 학습률을 동적으로 조정하여, 기울기의 분산을 고려하며, 누적 기울기를 사용하여 업데이트를 수행합니다.</t>
    </r>
    <phoneticPr fontId="5" type="noConversion"/>
  </si>
  <si>
    <t>Adaptive Moment Estimation)</t>
    <phoneticPr fontId="5" type="noConversion"/>
  </si>
  <si>
    <t>계층 정규화</t>
    <phoneticPr fontId="5" type="noConversion"/>
  </si>
  <si>
    <t>앙상블(Ensemble) 방법은 일반적으로 최적화 방법보다는 모델의 성능을 향상시키기 위한 기법으로 분류됩니다. 하지만 앙상블은 간접적으로 규제의 역할을 할 수 있습니다.</t>
  </si>
  <si>
    <t>앙상블의 정의</t>
  </si>
  <si>
    <t>앙상블 기법은 여러 개의 모델(예: 결정 트리, 신경망 등)을 결합하여 더 나은 예측 성능을 도출하는 방법입니다. 대표적인 앙상블 기법으로는 랜덤 포레스트(Random Forest)와 배깅(Bagging), 부스팅(Boosting) 등이 있습니다.</t>
  </si>
  <si>
    <t>규제의 역할</t>
  </si>
  <si>
    <t>앙상블 기법이 규제로 작용하는 이유는 다음과 같습니다:</t>
  </si>
  <si>
    <r>
      <t>1. 과적합 방지</t>
    </r>
    <r>
      <rPr>
        <sz val="11"/>
        <color theme="1"/>
        <rFont val="맑은 고딕"/>
        <family val="2"/>
        <scheme val="minor"/>
      </rPr>
      <t>: 여러 모델을 조합함으로써 단일 모델의 과적합을 줄이는 효과가 있습니다. 다양한 모델의 예측을 평균화하면 노이즈가 줄어듭니다.</t>
    </r>
  </si>
  <si>
    <r>
      <t>2. 다양성</t>
    </r>
    <r>
      <rPr>
        <sz val="11"/>
        <color theme="1"/>
        <rFont val="맑은 고딕"/>
        <family val="2"/>
        <scheme val="minor"/>
      </rPr>
      <t>: 서로 다른 모델이 서로 다른 오류를 범하기 때문에, 앙상블을 통해 예측의 다양성을 높이고, 안정성을 증가시킵니다.</t>
    </r>
  </si>
  <si>
    <r>
      <t>3. 성능 향상</t>
    </r>
    <r>
      <rPr>
        <sz val="11"/>
        <color theme="1"/>
        <rFont val="맑은 고딕"/>
        <family val="2"/>
        <scheme val="minor"/>
      </rPr>
      <t>: 여러 모델의 예측 결과를 결합하여 일반화 능력을 향상시킬 수 있습니다.</t>
    </r>
  </si>
  <si>
    <t>앙상블 방법은 전통적인 규제 기법(예: L1, L2 정규화)과는 다른 방식으로 작용하지만, 모델의 일반화 능력을 향상시키고 과적합을 방지하는 데 기여할 수 있습니다. 따라서, 규제의 일종으로 볼 수 있습니다.</t>
  </si>
  <si>
    <t>배치 정규화(Batch Normalization)와 계층 정규화(Layer Normalization)를 함께 사용할 수 있습니다. 두 가지 정규화 기법은 서로 다른 상황에서 유리하게 작용할 수 있으며, 함께 사용하면 모델의 성능을 개선할 수 있습니다.</t>
  </si>
  <si>
    <t>함께 사용하는 경우</t>
  </si>
  <si>
    <r>
      <t>1. 복잡한 모델</t>
    </r>
    <r>
      <rPr>
        <sz val="11"/>
        <color theme="1"/>
        <rFont val="맑은 고딕"/>
        <family val="2"/>
        <scheme val="minor"/>
      </rPr>
      <t>: 복잡한 신경망 구조에서 두 가지 정규화를 결합하면 각 기법의 장점을 활용할 수 있습니다.</t>
    </r>
  </si>
  <si>
    <r>
      <t>2. 다양한 데이터</t>
    </r>
    <r>
      <rPr>
        <sz val="11"/>
        <color theme="1"/>
        <rFont val="맑은 고딕"/>
        <family val="2"/>
        <scheme val="minor"/>
      </rPr>
      <t>: 배치 정규화가 효과적인 경우와 계층 정규화가 더 적합한 경우가 있으므로, 특정 레이어에서 각각의 정규화를 적용할 수 있습니다.</t>
    </r>
  </si>
  <si>
    <t>예시</t>
  </si>
  <si>
    <r>
      <t>배치 정규화</t>
    </r>
    <r>
      <rPr>
        <sz val="11"/>
        <color theme="1"/>
        <rFont val="맑은 고딕"/>
        <family val="2"/>
        <scheme val="minor"/>
      </rPr>
      <t>는 CNN과 같은 이미지 처리 모델에서 유용하게 사용되며,</t>
    </r>
  </si>
  <si>
    <r>
      <t>계층 정규화</t>
    </r>
    <r>
      <rPr>
        <sz val="11"/>
        <color theme="1"/>
        <rFont val="맑은 고딕"/>
        <family val="2"/>
        <scheme val="minor"/>
      </rPr>
      <t>는 RNN과 같은 순차 모델에서 더 효과적일 수 있습니다.</t>
    </r>
  </si>
  <si>
    <t>주의 사항</t>
  </si>
  <si>
    <t>두 기법을 함께 사용할 경우, 각 정규화의 효과를 잘 조절해야 하며, 하이퍼파라미터 조정이 필요할 수 있습니다.</t>
  </si>
  <si>
    <t>배치 크기나 데이터의 특성에 따라 성능이 달라질 수 있으므로, 실험을 통해 최적의 조합을 찾아야 합니다.</t>
  </si>
  <si>
    <t>결론적으로, 두 정규화를 함께 사용하는 것은 가능하며, 모델 성능을 향상시키는 데 도움이 될 수 있습니다.</t>
  </si>
  <si>
    <t>2차 프로젝트 평가 기준</t>
    <phoneticPr fontId="5" type="noConversion"/>
  </si>
  <si>
    <t>tf.keras.initializers.GlorotNormal()</t>
    <phoneticPr fontId="5" type="noConversion"/>
  </si>
  <si>
    <r>
      <t>tf.keras.initializers.Constant(</t>
    </r>
    <r>
      <rPr>
        <sz val="11"/>
        <color rgb="FF116644"/>
        <rFont val="Courier New"/>
        <family val="3"/>
      </rPr>
      <t>2.0</t>
    </r>
    <r>
      <rPr>
        <sz val="11"/>
        <color rgb="FF000000"/>
        <rFont val="Courier New"/>
        <family val="3"/>
      </rPr>
      <t>)</t>
    </r>
  </si>
  <si>
    <t>규제</t>
    <phoneticPr fontId="5" type="noConversion"/>
  </si>
  <si>
    <t>tf.keras.regularizers.l1</t>
  </si>
  <si>
    <t>SGD</t>
    <phoneticPr fontId="5" type="noConversion"/>
  </si>
  <si>
    <t>BinaryCrossentropy</t>
  </si>
  <si>
    <t>metrics=[tf.keras.metrics.Accuracy(),</t>
  </si>
  <si>
    <t>             tf.keras.metrics.Precision(),</t>
  </si>
  <si>
    <t>             tf.keras.metrics.Recall(),]</t>
  </si>
  <si>
    <t>x1</t>
    <phoneticPr fontId="5" type="noConversion"/>
  </si>
  <si>
    <t>y</t>
    <phoneticPr fontId="5" type="noConversion"/>
  </si>
  <si>
    <t>입력층</t>
    <phoneticPr fontId="5" type="noConversion"/>
  </si>
  <si>
    <t>은닉층</t>
    <phoneticPr fontId="5" type="noConversion"/>
  </si>
  <si>
    <r>
      <t>inputs= tf.keras.Input(shape=(</t>
    </r>
    <r>
      <rPr>
        <sz val="11"/>
        <color rgb="FF116644"/>
        <rFont val="Courier New"/>
        <family val="3"/>
      </rPr>
      <t>2</t>
    </r>
    <r>
      <rPr>
        <sz val="11"/>
        <color rgb="FF000000"/>
        <rFont val="Courier New"/>
        <family val="3"/>
      </rPr>
      <t>,))</t>
    </r>
    <phoneticPr fontId="5" type="noConversion"/>
  </si>
  <si>
    <r>
      <t>h1 = Dense(units=</t>
    </r>
    <r>
      <rPr>
        <sz val="11"/>
        <color rgb="FF116644"/>
        <rFont val="Courier New"/>
        <family val="3"/>
      </rPr>
      <t>4</t>
    </r>
    <r>
      <rPr>
        <sz val="11"/>
        <color rgb="FF000000"/>
        <rFont val="Courier New"/>
        <family val="3"/>
      </rPr>
      <t>, activation=</t>
    </r>
    <r>
      <rPr>
        <sz val="11"/>
        <color rgb="FFA31515"/>
        <rFont val="Courier New"/>
        <family val="3"/>
      </rPr>
      <t>'relu'</t>
    </r>
    <r>
      <rPr>
        <sz val="11"/>
        <color rgb="FF000000"/>
        <rFont val="Courier New"/>
        <family val="3"/>
      </rPr>
      <t>)(inputs)</t>
    </r>
    <phoneticPr fontId="5" type="noConversion"/>
  </si>
  <si>
    <t>h2=Dense(units=4, activation='relu')(h1)</t>
    <phoneticPr fontId="5" type="noConversion"/>
  </si>
  <si>
    <r>
      <t>h3 = Dense(units=</t>
    </r>
    <r>
      <rPr>
        <sz val="11"/>
        <color rgb="FF116644"/>
        <rFont val="Courier New"/>
        <family val="3"/>
      </rPr>
      <t>4</t>
    </r>
    <r>
      <rPr>
        <sz val="11"/>
        <color rgb="FF000000"/>
        <rFont val="Courier New"/>
        <family val="3"/>
      </rPr>
      <t>, activation=</t>
    </r>
    <r>
      <rPr>
        <sz val="11"/>
        <color rgb="FFA31515"/>
        <rFont val="Courier New"/>
        <family val="3"/>
      </rPr>
      <t>'relu'</t>
    </r>
    <r>
      <rPr>
        <sz val="11"/>
        <color rgb="FF000000"/>
        <rFont val="Courier New"/>
        <family val="3"/>
      </rPr>
      <t>)(h2)</t>
    </r>
  </si>
  <si>
    <t>sigmoid</t>
    <phoneticPr fontId="5" type="noConversion"/>
  </si>
  <si>
    <r>
      <t>outputs=Dense(units=</t>
    </r>
    <r>
      <rPr>
        <sz val="11"/>
        <color rgb="FF116644"/>
        <rFont val="Courier New"/>
        <family val="3"/>
      </rPr>
      <t>1</t>
    </r>
    <r>
      <rPr>
        <sz val="11"/>
        <color rgb="FF000000"/>
        <rFont val="Courier New"/>
        <family val="3"/>
      </rPr>
      <t>, activation=</t>
    </r>
    <r>
      <rPr>
        <sz val="11"/>
        <color rgb="FFA31515"/>
        <rFont val="Courier New"/>
        <family val="3"/>
      </rPr>
      <t>'sigmoid'</t>
    </r>
    <r>
      <rPr>
        <sz val="11"/>
        <color rgb="FF000000"/>
        <rFont val="Courier New"/>
        <family val="3"/>
      </rPr>
      <t>)(h3)</t>
    </r>
  </si>
  <si>
    <t>파라미터수</t>
    <phoneticPr fontId="5" type="noConversion"/>
  </si>
  <si>
    <t>한 필터당 가중치 파라미터 수: 5×5×1=25</t>
    <phoneticPr fontId="5" type="noConversion"/>
  </si>
  <si>
    <t>총 가중치 파라미터 수: 25×32=800</t>
    <phoneticPr fontId="5" type="noConversion"/>
  </si>
  <si>
    <t>28*28*32</t>
    <phoneticPr fontId="5" type="noConversion"/>
  </si>
  <si>
    <t>14*14</t>
    <phoneticPr fontId="5" type="noConversion"/>
  </si>
  <si>
    <t>28으로 나온 이유는</t>
    <phoneticPr fontId="5" type="noConversion"/>
  </si>
  <si>
    <t>패딩이 same</t>
    <phoneticPr fontId="5" type="noConversion"/>
  </si>
  <si>
    <t>7*7*64</t>
    <phoneticPr fontId="5" type="noConversion"/>
  </si>
  <si>
    <t>Conv2D</t>
  </si>
  <si>
    <t>커널</t>
    <phoneticPr fontId="5" type="noConversion"/>
  </si>
  <si>
    <t>커널 32 개</t>
    <phoneticPr fontId="5" type="noConversion"/>
  </si>
  <si>
    <t>2*2</t>
    <phoneticPr fontId="5" type="noConversion"/>
  </si>
  <si>
    <t>drop0ut(0.5)</t>
    <phoneticPr fontId="5" type="noConversion"/>
  </si>
  <si>
    <t>커널 64 개</t>
    <phoneticPr fontId="5" type="noConversion"/>
  </si>
  <si>
    <r>
      <rPr>
        <b/>
        <sz val="11"/>
        <color rgb="FF000000"/>
        <rFont val="돋움"/>
        <family val="3"/>
        <charset val="129"/>
      </rPr>
      <t>가중치</t>
    </r>
    <r>
      <rPr>
        <b/>
        <sz val="11"/>
        <color rgb="FF000000"/>
        <rFont val="Calibri"/>
        <family val="2"/>
      </rPr>
      <t xml:space="preserve"> </t>
    </r>
    <r>
      <rPr>
        <b/>
        <sz val="11"/>
        <color rgb="FF000000"/>
        <rFont val="돋움"/>
        <family val="3"/>
        <charset val="129"/>
      </rPr>
      <t>초기화</t>
    </r>
    <phoneticPr fontId="5" type="noConversion"/>
  </si>
  <si>
    <r>
      <rPr>
        <b/>
        <sz val="11"/>
        <color theme="1"/>
        <rFont val="돋움"/>
        <family val="3"/>
        <charset val="129"/>
      </rPr>
      <t>드랍아웃</t>
    </r>
    <r>
      <rPr>
        <b/>
        <sz val="11"/>
        <color theme="1"/>
        <rFont val="Calibri"/>
        <family val="2"/>
      </rPr>
      <t>(Dropout)</t>
    </r>
    <phoneticPr fontId="5" type="noConversion"/>
  </si>
  <si>
    <t>조기멈춤</t>
    <phoneticPr fontId="5" type="noConversion"/>
  </si>
  <si>
    <r>
      <rPr>
        <b/>
        <sz val="11"/>
        <color rgb="FF000000"/>
        <rFont val="돋움"/>
        <family val="3"/>
        <charset val="129"/>
      </rPr>
      <t>적응적</t>
    </r>
    <r>
      <rPr>
        <b/>
        <sz val="11"/>
        <color rgb="FF000000"/>
        <rFont val="Calibri"/>
        <family val="2"/>
      </rPr>
      <t xml:space="preserve"> </t>
    </r>
    <r>
      <rPr>
        <b/>
        <sz val="11"/>
        <color rgb="FF000000"/>
        <rFont val="돋움"/>
        <family val="3"/>
        <charset val="129"/>
      </rPr>
      <t>학습률</t>
    </r>
    <phoneticPr fontId="5" type="noConversion"/>
  </si>
  <si>
    <t>기본</t>
    <phoneticPr fontId="5" type="noConversion"/>
  </si>
  <si>
    <t>G:\내 드라이브\이스트소프트10기공유\7_자연어처리_시계열\ARIMA(Autoregressive Integrated Moving Average)모델_확인.ipynb</t>
    <phoneticPr fontId="5" type="noConversion"/>
  </si>
  <si>
    <t>RNN 모델 설계</t>
    <phoneticPr fontId="5" type="noConversion"/>
  </si>
  <si>
    <r>
      <t>batch_size</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128</t>
    </r>
  </si>
  <si>
    <r>
      <t>total_words</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10000</t>
    </r>
  </si>
  <si>
    <r>
      <t>max_review_len</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80</t>
    </r>
  </si>
  <si>
    <r>
      <t>embedding_len</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100</t>
    </r>
  </si>
  <si>
    <r>
      <t>(</t>
    </r>
    <r>
      <rPr>
        <sz val="11"/>
        <color rgb="FF001080"/>
        <rFont val="Consolas"/>
        <family val="3"/>
      </rPr>
      <t>x_train</t>
    </r>
    <r>
      <rPr>
        <sz val="11"/>
        <color rgb="FF3B3B3B"/>
        <rFont val="Consolas"/>
        <family val="3"/>
      </rPr>
      <t xml:space="preserve">, </t>
    </r>
    <r>
      <rPr>
        <sz val="11"/>
        <color rgb="FF001080"/>
        <rFont val="Consolas"/>
        <family val="3"/>
      </rPr>
      <t>y_train</t>
    </r>
    <r>
      <rPr>
        <sz val="11"/>
        <color rgb="FF3B3B3B"/>
        <rFont val="Consolas"/>
        <family val="3"/>
      </rPr>
      <t>), (</t>
    </r>
    <r>
      <rPr>
        <sz val="11"/>
        <color rgb="FF001080"/>
        <rFont val="Consolas"/>
        <family val="3"/>
      </rPr>
      <t>x_test</t>
    </r>
    <r>
      <rPr>
        <sz val="11"/>
        <color rgb="FF3B3B3B"/>
        <rFont val="Consolas"/>
        <family val="3"/>
      </rPr>
      <t xml:space="preserve">, </t>
    </r>
    <r>
      <rPr>
        <sz val="11"/>
        <color rgb="FF001080"/>
        <rFont val="Consolas"/>
        <family val="3"/>
      </rPr>
      <t>y_test</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267F99"/>
        <rFont val="Consolas"/>
        <family val="3"/>
      </rPr>
      <t>tf</t>
    </r>
    <r>
      <rPr>
        <sz val="11"/>
        <color rgb="FF3B3B3B"/>
        <rFont val="Consolas"/>
        <family val="3"/>
      </rPr>
      <t>.keras.datasets.imdb.load_data(</t>
    </r>
    <r>
      <rPr>
        <sz val="11"/>
        <color rgb="FF001080"/>
        <rFont val="Consolas"/>
        <family val="3"/>
      </rPr>
      <t>num_words</t>
    </r>
    <r>
      <rPr>
        <sz val="11"/>
        <color rgb="FF000000"/>
        <rFont val="Consolas"/>
        <family val="3"/>
      </rPr>
      <t>=</t>
    </r>
    <r>
      <rPr>
        <sz val="11"/>
        <color rgb="FF001080"/>
        <rFont val="Consolas"/>
        <family val="3"/>
      </rPr>
      <t>total_words</t>
    </r>
    <r>
      <rPr>
        <sz val="11"/>
        <color rgb="FF3B3B3B"/>
        <rFont val="Consolas"/>
        <family val="3"/>
      </rPr>
      <t>)</t>
    </r>
  </si>
  <si>
    <t>train 데이터</t>
    <phoneticPr fontId="5" type="noConversion"/>
  </si>
  <si>
    <t># num_words 등장 빈도 순위가 1~10000에 해당하는 단어만 사용</t>
    <phoneticPr fontId="5" type="noConversion"/>
  </si>
  <si>
    <r>
      <t>x_train</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267F99"/>
        <rFont val="Consolas"/>
        <family val="3"/>
      </rPr>
      <t>tf</t>
    </r>
    <r>
      <rPr>
        <sz val="11"/>
        <color rgb="FF3B3B3B"/>
        <rFont val="Consolas"/>
        <family val="3"/>
      </rPr>
      <t>.keras.preprocessing.sequence.pad_sequences(</t>
    </r>
    <r>
      <rPr>
        <sz val="11"/>
        <color rgb="FF001080"/>
        <rFont val="Consolas"/>
        <family val="3"/>
      </rPr>
      <t>x_train</t>
    </r>
    <r>
      <rPr>
        <sz val="11"/>
        <color rgb="FF3B3B3B"/>
        <rFont val="Consolas"/>
        <family val="3"/>
      </rPr>
      <t xml:space="preserve">, </t>
    </r>
    <r>
      <rPr>
        <sz val="11"/>
        <color rgb="FF001080"/>
        <rFont val="Consolas"/>
        <family val="3"/>
      </rPr>
      <t>maxlen</t>
    </r>
    <r>
      <rPr>
        <sz val="11"/>
        <color rgb="FF000000"/>
        <rFont val="Consolas"/>
        <family val="3"/>
      </rPr>
      <t>=</t>
    </r>
    <r>
      <rPr>
        <sz val="11"/>
        <color rgb="FF001080"/>
        <rFont val="Consolas"/>
        <family val="3"/>
      </rPr>
      <t>max_review_len</t>
    </r>
    <r>
      <rPr>
        <sz val="11"/>
        <color rgb="FF3B3B3B"/>
        <rFont val="Consolas"/>
        <family val="3"/>
      </rPr>
      <t>)</t>
    </r>
  </si>
  <si>
    <r>
      <t>Embedding(</t>
    </r>
    <r>
      <rPr>
        <sz val="11"/>
        <color rgb="FF001080"/>
        <rFont val="Consolas"/>
        <family val="3"/>
      </rPr>
      <t>total_words</t>
    </r>
    <r>
      <rPr>
        <sz val="11"/>
        <color rgb="FF3B3B3B"/>
        <rFont val="Consolas"/>
        <family val="3"/>
      </rPr>
      <t xml:space="preserve">, </t>
    </r>
    <r>
      <rPr>
        <sz val="11"/>
        <color rgb="FF001080"/>
        <rFont val="Consolas"/>
        <family val="3"/>
      </rPr>
      <t>embedding_len</t>
    </r>
    <r>
      <rPr>
        <sz val="11"/>
        <color rgb="FF3B3B3B"/>
        <rFont val="Consolas"/>
        <family val="3"/>
      </rPr>
      <t xml:space="preserve">, </t>
    </r>
    <r>
      <rPr>
        <sz val="11"/>
        <color rgb="FF001080"/>
        <rFont val="Consolas"/>
        <family val="3"/>
      </rPr>
      <t>input_length</t>
    </r>
    <r>
      <rPr>
        <sz val="11"/>
        <color rgb="FF000000"/>
        <rFont val="Consolas"/>
        <family val="3"/>
      </rPr>
      <t>=</t>
    </r>
    <r>
      <rPr>
        <sz val="11"/>
        <color rgb="FF001080"/>
        <rFont val="Consolas"/>
        <family val="3"/>
      </rPr>
      <t>max_review_len</t>
    </r>
    <r>
      <rPr>
        <sz val="11"/>
        <color rgb="FF3B3B3B"/>
        <rFont val="Consolas"/>
        <family val="3"/>
      </rPr>
      <t>)</t>
    </r>
  </si>
  <si>
    <r>
      <t>train_data</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01080"/>
        <rFont val="Consolas"/>
        <family val="3"/>
      </rPr>
      <t>train_data</t>
    </r>
    <r>
      <rPr>
        <sz val="11"/>
        <color rgb="FF3B3B3B"/>
        <rFont val="Consolas"/>
        <family val="3"/>
      </rPr>
      <t>.shuffle(</t>
    </r>
    <r>
      <rPr>
        <sz val="11"/>
        <color rgb="FF098658"/>
        <rFont val="Consolas"/>
        <family val="3"/>
      </rPr>
      <t>10000</t>
    </r>
    <r>
      <rPr>
        <sz val="11"/>
        <color rgb="FF3B3B3B"/>
        <rFont val="Consolas"/>
        <family val="3"/>
      </rPr>
      <t>).batch(</t>
    </r>
    <r>
      <rPr>
        <sz val="11"/>
        <color rgb="FF001080"/>
        <rFont val="Consolas"/>
        <family val="3"/>
      </rPr>
      <t>batch_size</t>
    </r>
    <r>
      <rPr>
        <sz val="11"/>
        <color rgb="FF3B3B3B"/>
        <rFont val="Consolas"/>
        <family val="3"/>
      </rPr>
      <t xml:space="preserve">, </t>
    </r>
    <r>
      <rPr>
        <sz val="11"/>
        <color rgb="FF001080"/>
        <rFont val="Consolas"/>
        <family val="3"/>
      </rPr>
      <t>drop_remainder</t>
    </r>
    <r>
      <rPr>
        <sz val="11"/>
        <color rgb="FF000000"/>
        <rFont val="Consolas"/>
        <family val="3"/>
      </rPr>
      <t>=</t>
    </r>
    <r>
      <rPr>
        <sz val="11"/>
        <color rgb="FF0000FF"/>
        <rFont val="Consolas"/>
        <family val="3"/>
      </rPr>
      <t>True</t>
    </r>
    <r>
      <rPr>
        <sz val="11"/>
        <color rgb="FF3B3B3B"/>
        <rFont val="Consolas"/>
        <family val="3"/>
      </rPr>
      <t>)</t>
    </r>
  </si>
  <si>
    <t>shuffle(buffer_size)</t>
    <phoneticPr fontId="5" type="noConversion"/>
  </si>
  <si>
    <t>권장 사항</t>
  </si>
  <si>
    <r>
      <t>작은 데이터셋</t>
    </r>
    <r>
      <rPr>
        <sz val="11"/>
        <color theme="1"/>
        <rFont val="맑은 고딕"/>
        <family val="2"/>
        <scheme val="minor"/>
      </rPr>
      <t>: 데이터셋이 작다면 전체 크기와 유사한 버퍼 사이즈를 사용합니다.</t>
    </r>
  </si>
  <si>
    <r>
      <t>중간~큰 데이터셋</t>
    </r>
    <r>
      <rPr>
        <sz val="11"/>
        <color theme="1"/>
        <rFont val="맑은 고딕"/>
        <family val="2"/>
        <scheme val="minor"/>
      </rPr>
      <t>: 데이터셋의 10%~30% 정도를 버퍼 사이즈로 설정하는 것이 일반적입니다.</t>
    </r>
  </si>
  <si>
    <t>셔플 됨</t>
    <phoneticPr fontId="5" type="noConversion"/>
  </si>
  <si>
    <r>
      <t>next</t>
    </r>
    <r>
      <rPr>
        <sz val="11"/>
        <color rgb="FF3B3B3B"/>
        <rFont val="Consolas"/>
        <family val="3"/>
      </rPr>
      <t>(</t>
    </r>
    <r>
      <rPr>
        <sz val="11"/>
        <color rgb="FF795E26"/>
        <rFont val="Consolas"/>
        <family val="3"/>
      </rPr>
      <t>iter</t>
    </r>
    <r>
      <rPr>
        <sz val="11"/>
        <color rgb="FF3B3B3B"/>
        <rFont val="Consolas"/>
        <family val="3"/>
      </rPr>
      <t>(</t>
    </r>
    <r>
      <rPr>
        <sz val="11"/>
        <color rgb="FF001080"/>
        <rFont val="Consolas"/>
        <family val="3"/>
      </rPr>
      <t>train_data</t>
    </r>
    <r>
      <rPr>
        <sz val="11"/>
        <color rgb="FF3B3B3B"/>
        <rFont val="Consolas"/>
        <family val="3"/>
      </rPr>
      <t>))</t>
    </r>
    <phoneticPr fontId="5" type="noConversion"/>
  </si>
  <si>
    <t>shape=(128, 80)</t>
  </si>
  <si>
    <r>
      <t>next</t>
    </r>
    <r>
      <rPr>
        <sz val="11"/>
        <color rgb="FF3B3B3B"/>
        <rFont val="Consolas"/>
        <family val="3"/>
      </rPr>
      <t>(</t>
    </r>
    <r>
      <rPr>
        <sz val="11"/>
        <color rgb="FF795E26"/>
        <rFont val="Consolas"/>
        <family val="3"/>
      </rPr>
      <t>iter</t>
    </r>
    <r>
      <rPr>
        <sz val="11"/>
        <color rgb="FF3B3B3B"/>
        <rFont val="Consolas"/>
        <family val="3"/>
      </rPr>
      <t>(</t>
    </r>
    <r>
      <rPr>
        <sz val="11"/>
        <color rgb="FF001080"/>
        <rFont val="Consolas"/>
        <family val="3"/>
      </rPr>
      <t>train_data</t>
    </r>
    <r>
      <rPr>
        <sz val="11"/>
        <color rgb="FF3B3B3B"/>
        <rFont val="Consolas"/>
        <family val="3"/>
      </rPr>
      <t>))</t>
    </r>
    <phoneticPr fontId="5" type="noConversion"/>
  </si>
  <si>
    <r>
      <t>train_data</t>
    </r>
    <r>
      <rPr>
        <sz val="11"/>
        <color rgb="FF3B3B3B"/>
        <rFont val="Consolas"/>
        <family val="3"/>
      </rPr>
      <t>.cardinality().numpy()</t>
    </r>
  </si>
  <si>
    <t>배치수 195개</t>
    <phoneticPr fontId="5" type="noConversion"/>
  </si>
  <si>
    <t>128*80 배치가 195개</t>
    <phoneticPr fontId="5" type="noConversion"/>
  </si>
  <si>
    <t xml:space="preserve">그럼 row는 </t>
    <phoneticPr fontId="5" type="noConversion"/>
  </si>
  <si>
    <t xml:space="preserve">그럼 25000개에서 </t>
    <phoneticPr fontId="5" type="noConversion"/>
  </si>
  <si>
    <t>개는 날라감</t>
    <phoneticPr fontId="5" type="noConversion"/>
  </si>
  <si>
    <t>drop_remainer=True</t>
    <phoneticPr fontId="5" type="noConversion"/>
  </si>
  <si>
    <t>RNN 파라미터=(입력 차원+유닛 수)×유닛 수+유닛 수 (바이어스)</t>
  </si>
  <si>
    <t>ARIMA pdq 가이드</t>
  </si>
  <si>
    <t>1. 차분 횟수 (d) 결정</t>
  </si>
  <si>
    <t>정상성 확인:</t>
  </si>
  <si>
    <t>데이터가 정상성을 만족하는지 확인합니다. 정상성은 평균과 분산이 시간에 따라 변하지 않는 것을 의미합니다.</t>
  </si>
  <si>
    <t>시각적 방법: 시계열 플롯을 통해 데이터의 패턴을 관찰합니다.</t>
  </si>
  <si>
    <t>통계적 방법: ADF(Augmented Dickey-Fuller) 검정이나 KPSS(Kwiatkowski-Phillips-Schmidt-Shin) 검정을 사용하여 정상성을 테스트합니다.</t>
  </si>
  <si>
    <t>차분:</t>
  </si>
  <si>
    <t>데이터가 비정상적일 경우, d 값을 1 또는 2로 설정하여 차분합니다.</t>
  </si>
  <si>
    <t>1차 차분(d=1)이 일반적으로 많이 사용됩니다.</t>
  </si>
  <si>
    <t>2. 자기회귀 차수 (p) 결정</t>
  </si>
  <si>
    <t>ACF(자기상관 함수):</t>
  </si>
  <si>
    <t>ACF 플롯을 생성하여 시계열의 자기상관을 확인합니다.</t>
  </si>
  <si>
    <t>ACF가 특정 지점에서 급격히 감소하면 그 지점까지 q 값을 설정하고, 이후에 곡선이 서서히 감소하면 p 값을 설정합니다.</t>
  </si>
  <si>
    <t>PACF(부분 자기상관 함수):</t>
  </si>
  <si>
    <t>PACF 플롯을 사용하여 p 값을 결정합니다.</t>
  </si>
  <si>
    <t>PACF가 특정 지점에서 급격히 감소하면 그 지점까지 p 값을 설정합니다.</t>
  </si>
  <si>
    <t>3. 이동 평균 차수 (q) 결정</t>
  </si>
  <si>
    <t>ACF 플롯:</t>
  </si>
  <si>
    <t>ACF 플롯을 분석하여 q 값을 결정합니다. ACF가 특정 지점에서 급격히 감소하면 그 지점까지 q 값을 설정합니다.</t>
  </si>
  <si>
    <t>4. 모델 평가</t>
  </si>
  <si>
    <t>AIC/BIC 기준:</t>
  </si>
  <si>
    <t>다양한 p, d, q 조합에 대해 모델을 적합시키고, AIC(Akaike Information Criterion) 또는 BIC(Bayesian Information Criterion)를 사용하여 최적의 모델을 선택합니다.</t>
  </si>
  <si>
    <t>AIC/BIC 값이 낮을수록 더 좋은 모델이라고 판단합니다.</t>
  </si>
  <si>
    <t>5. 모델 진단</t>
  </si>
  <si>
    <t>잔차 분석을 통해 모델의 적합성을 평가합니다.</t>
  </si>
  <si>
    <t>잔차가 정규 분포를 따르는지, 자기상관이 없는지 확인합니다.</t>
  </si>
  <si>
    <t>d: 데이터의 정상성을 확인하고 차분을 적용하여 결정.</t>
  </si>
  <si>
    <t>p: PACF 플롯을 통해 결정.</t>
  </si>
  <si>
    <t>q: ACF 플롯을 통해 결정.</t>
  </si>
  <si>
    <t>모델 평가: AIC/BIC 기준으로 최적 모델 선택.</t>
  </si>
  <si>
    <t>모델 진단: 잔차 분석을 통해 모델의 적합성 평가.</t>
  </si>
  <si>
    <t>이 과정을 통해 ARIMA 모델의 최적 매개변수를 결정할 수 있습니다.</t>
  </si>
  <si>
    <t>영화리뷰 감성 분류</t>
    <phoneticPr fontId="5" type="noConversion"/>
  </si>
  <si>
    <t>64개 노드</t>
    <phoneticPr fontId="5" type="noConversion"/>
  </si>
  <si>
    <t>Input 가중치 (W)</t>
    <phoneticPr fontId="5" type="noConversion"/>
  </si>
  <si>
    <t>Recurrent 가중치 (U)</t>
    <phoneticPr fontId="5" type="noConversion"/>
  </si>
  <si>
    <t>4개의 게이트</t>
    <phoneticPr fontId="5" type="noConversion"/>
  </si>
  <si>
    <t>입력 게이트 (Input Gate)</t>
  </si>
  <si>
    <t>망각 게이트 (Forget Gate)</t>
  </si>
  <si>
    <t>셀 상태 업데이트 (Cell State Update)</t>
  </si>
  <si>
    <t>출력 게이트 (Output Gate)</t>
  </si>
  <si>
    <t>모델 여섯 개에 대한 정확도 차이가 크지 않기 때문에 모든 모델을 실행하여 하이퍼파라미터 값을 제일 빨리 찾는 모델을 사용하길 권장</t>
  </si>
  <si>
    <t>https://docs.google.com/presentation/d/152CP0pvLJegOV2EygvysYcfD5BZzlUxn49KKlDybyQ4/edit?slide=id.g317daab7ae2_1_1038#slide=id.g317daab7ae2_1_1038</t>
    <phoneticPr fontId="5" type="noConversion"/>
  </si>
  <si>
    <t>1803 페이지 참조</t>
    <phoneticPr fontId="5" type="noConversion"/>
  </si>
  <si>
    <t>docker run --name mysql-container -e MYSQL_ROOT_PASSWORD=yourpassword -d mysql</t>
  </si>
  <si>
    <t>docker exec -it mysql-container mysql -u root -p</t>
  </si>
  <si>
    <t>mysql</t>
    <phoneticPr fontId="5" type="noConversion"/>
  </si>
  <si>
    <t>우분투</t>
    <phoneticPr fontId="5" type="noConversion"/>
  </si>
  <si>
    <t>docker run -it 이미지이름 /bin/bash</t>
    <phoneticPr fontId="5" type="noConversion"/>
  </si>
  <si>
    <t>mongodb</t>
    <phoneticPr fontId="5" type="noConversion"/>
  </si>
  <si>
    <t>docker pull mongo</t>
  </si>
  <si>
    <t>docker pull mongodb/mongodb-community-server:latest</t>
    <phoneticPr fontId="5" type="noConversion"/>
  </si>
  <si>
    <t>도커로 몽고DB 설정 정리 - 최근 윈도우에서 mongosh 설치 후 접속하는 방식으로 변경됨</t>
  </si>
  <si>
    <t>docker run --name mongo-container -d -p 27017:27017 mongo</t>
  </si>
  <si>
    <r>
      <t xml:space="preserve">윈도우에서 몽고쉘 설치 후 </t>
    </r>
    <r>
      <rPr>
        <u/>
        <sz val="11"/>
        <color theme="10"/>
        <rFont val="맑은 고딕"/>
        <family val="3"/>
        <charset val="129"/>
        <scheme val="minor"/>
      </rPr>
      <t>https://www.mongodb.com/try/download/shell</t>
    </r>
  </si>
  <si>
    <t>mongosh --host localhost --port 27017</t>
  </si>
  <si>
    <t>도커 컴포즈</t>
    <phoneticPr fontId="5" type="noConversion"/>
  </si>
  <si>
    <t>도커 명령어를 정의 파일에 기술해 실행하는 도구</t>
    <phoneticPr fontId="5" type="noConversion"/>
  </si>
  <si>
    <t>up</t>
    <phoneticPr fontId="5" type="noConversion"/>
  </si>
  <si>
    <t>docker run 커맨드와 비슷</t>
    <phoneticPr fontId="5" type="noConversion"/>
  </si>
  <si>
    <t>정의 파일이 기재된 내용대로 이미지를 내려박고 컨테이너를 실행</t>
    <phoneticPr fontId="5" type="noConversion"/>
  </si>
  <si>
    <t>down</t>
    <phoneticPr fontId="5" type="noConversion"/>
  </si>
  <si>
    <t>컨테이너와 네트워크 삭제 없이 종료만 하고 싶다면 stop 커맨드 사용</t>
    <phoneticPr fontId="5" type="noConversion"/>
  </si>
  <si>
    <t>컨테이너와 네트워크를 정지 및 삭제, 볼륨과 이미지는 삭제하지 않는다.</t>
    <phoneticPr fontId="5" type="noConversion"/>
  </si>
  <si>
    <t>도커 파일(Dockerfile은 이미지를 만드는 데 쓰임)</t>
    <phoneticPr fontId="5" type="noConversion"/>
  </si>
  <si>
    <t>도커 컴포즈는 컨테이너, 네트워크, 볼륨을 만드는 데 쓰임</t>
    <phoneticPr fontId="5" type="noConversion"/>
  </si>
  <si>
    <t>쿠버네티스는 컨테이너를 관리, 도커 컴포즈는 관리 기능은 없음</t>
    <phoneticPr fontId="5" type="noConversion"/>
  </si>
  <si>
    <t xml:space="preserve">윈도우에는 이미 설치됨, 리눅스에서는 </t>
    <phoneticPr fontId="5" type="noConversion"/>
  </si>
  <si>
    <t>sudo apt install -y python3 python3-pip</t>
    <phoneticPr fontId="5" type="noConversion"/>
  </si>
  <si>
    <t>sudo apt install docker-compose</t>
    <phoneticPr fontId="5" type="noConversion"/>
  </si>
  <si>
    <t>docker-compose -version</t>
    <phoneticPr fontId="5" type="noConversion"/>
  </si>
  <si>
    <t>docker-compose.yml 파일 사용</t>
    <phoneticPr fontId="5" type="noConversion"/>
  </si>
  <si>
    <t>서비스</t>
    <phoneticPr fontId="5" type="noConversion"/>
  </si>
  <si>
    <t>도커 컴포즈와 쿠버네티스에서는 컨테이너의 집합체를 서비스라고 부른다.</t>
    <phoneticPr fontId="5" type="noConversion"/>
  </si>
  <si>
    <t>컴포즈 파일의 작성 예</t>
    <phoneticPr fontId="5" type="noConversion"/>
  </si>
  <si>
    <t>version: "3"</t>
    <phoneticPr fontId="5" type="noConversion"/>
  </si>
  <si>
    <t>services:</t>
    <phoneticPr fontId="5" type="noConversion"/>
  </si>
  <si>
    <t>컨테이너 관련 정보</t>
    <phoneticPr fontId="5" type="noConversion"/>
  </si>
  <si>
    <t>networks:</t>
    <phoneticPr fontId="5" type="noConversion"/>
  </si>
  <si>
    <t>네트워크 관련 정보</t>
    <phoneticPr fontId="5" type="noConversion"/>
  </si>
  <si>
    <t>volumes:</t>
    <phoneticPr fontId="5" type="noConversion"/>
  </si>
  <si>
    <t>볼륨 관련 정보</t>
    <phoneticPr fontId="5" type="noConversion"/>
  </si>
  <si>
    <t>docker-compose -f 컴포즈파일경로 stop</t>
    <phoneticPr fontId="5" type="noConversion"/>
  </si>
  <si>
    <t>현재 작업 디렉토리를 컴포즈용 폴더로 사용한 예</t>
    <phoneticPr fontId="5" type="noConversion"/>
  </si>
  <si>
    <t>docker-compose up -d</t>
    <phoneticPr fontId="5" type="noConversion"/>
  </si>
  <si>
    <t>쿠버네티스</t>
    <phoneticPr fontId="5" type="noConversion"/>
  </si>
  <si>
    <t>마스터 노드와 워커노드</t>
    <phoneticPr fontId="5" type="noConversion"/>
  </si>
  <si>
    <t>클러스터</t>
    <phoneticPr fontId="5" type="noConversion"/>
  </si>
  <si>
    <t>CNI(가상 네트워크 드라이버) 설치해야함</t>
    <phoneticPr fontId="5" type="noConversion"/>
  </si>
  <si>
    <t>플란넬</t>
    <phoneticPr fontId="5" type="noConversion"/>
  </si>
  <si>
    <t>칼리코</t>
    <phoneticPr fontId="5" type="noConversion"/>
  </si>
  <si>
    <t>AWS VPN CNI 등</t>
    <phoneticPr fontId="5" type="noConversion"/>
  </si>
  <si>
    <t>마스터 노드를 설정하는 관리자의 컴퓨터에는 kubectl을 설치</t>
    <phoneticPr fontId="5" type="noConversion"/>
  </si>
  <si>
    <t>마스터 노드는 컨트롤플레인(제어판)을 통해 워커 노드를 관리함</t>
    <phoneticPr fontId="5" type="noConversion"/>
  </si>
  <si>
    <t>쿠버네티스느 항상 바람직한 상태를 유지함</t>
    <phoneticPr fontId="5" type="noConversion"/>
  </si>
  <si>
    <t>pod</t>
    <phoneticPr fontId="5" type="noConversion"/>
  </si>
  <si>
    <t>컨테이너와 볼륨을 묶은 것</t>
    <phoneticPr fontId="5" type="noConversion"/>
  </si>
  <si>
    <t>기본적으로 파드 하나가 컨테이너 하나이지만 컨테이너가 여러 개인 파드도 있을 수 있다.</t>
    <phoneticPr fontId="5" type="noConversion"/>
  </si>
  <si>
    <t>서비스</t>
    <phoneticPr fontId="5" type="noConversion"/>
  </si>
  <si>
    <t>pod를 모든 것이 서비스</t>
    <phoneticPr fontId="5" type="noConversion"/>
  </si>
  <si>
    <t>로드밸런서(부하분산장치)</t>
    <phoneticPr fontId="5" type="noConversion"/>
  </si>
  <si>
    <t>서비스가 분배하는 통신은 한 워커 노드 안으로 국한시킴</t>
    <phoneticPr fontId="5" type="noConversion"/>
  </si>
  <si>
    <t>여러 워커 노드 간의 분배는 실제 로드밸런서 또는 인그레스가 담당함</t>
    <phoneticPr fontId="5" type="noConversion"/>
  </si>
  <si>
    <t>ReplicaSet</t>
    <phoneticPr fontId="5" type="noConversion"/>
  </si>
  <si>
    <t>pod의 수를 관리하는 반장</t>
    <phoneticPr fontId="5" type="noConversion"/>
  </si>
  <si>
    <t>deployment</t>
    <phoneticPr fontId="5" type="noConversion"/>
  </si>
  <si>
    <t>pod의 디플로이(배포)를 관리하는 요소</t>
    <phoneticPr fontId="5" type="noConversion"/>
  </si>
  <si>
    <t>레플리카세트가 반장이라면 디플로이먼트는 반장보다 위에 있는 상사</t>
    <phoneticPr fontId="5" type="noConversion"/>
  </si>
  <si>
    <r>
      <t xml:space="preserve">따라서 </t>
    </r>
    <r>
      <rPr>
        <sz val="14"/>
        <color rgb="FFFF0000"/>
        <rFont val="Arial Unicode MS"/>
        <family val="2"/>
      </rPr>
      <t>ImageDataGenerator</t>
    </r>
    <r>
      <rPr>
        <sz val="14"/>
        <color rgb="FFFF0000"/>
        <rFont val="맑은 고딕"/>
        <family val="2"/>
        <scheme val="minor"/>
      </rPr>
      <t>를 사용하더라도 실제 데이터의 갯수가 증가하는 것은 아니며, 훈련 중에 다양한 변형된 이미지를 실시간으로 생성해 활용하게 됩니다.</t>
    </r>
    <phoneticPr fontId="5" type="noConversion"/>
  </si>
  <si>
    <t>즉, 변형된 이미지를 메모리에 저장하지 않고, 매 훈련 스텝마다 변형된 이미지를 동적으로 생성해 사용하는 것입니다.</t>
    <phoneticPr fontId="5" type="noConversion"/>
  </si>
  <si>
    <t>Con2D</t>
    <phoneticPr fontId="5" type="noConversion"/>
  </si>
  <si>
    <t>커널 3*3</t>
    <phoneticPr fontId="5" type="noConversion"/>
  </si>
  <si>
    <t>Max Pooling</t>
    <phoneticPr fontId="5" type="noConversion"/>
  </si>
  <si>
    <t>기본</t>
    <phoneticPr fontId="5" type="noConversion"/>
  </si>
  <si>
    <t>valid 패딩</t>
    <phoneticPr fontId="5" type="noConversion"/>
  </si>
  <si>
    <t>148*148</t>
    <phoneticPr fontId="5" type="noConversion"/>
  </si>
  <si>
    <t>가중치</t>
    <phoneticPr fontId="5" type="noConversion"/>
  </si>
  <si>
    <t>한 커널당 가중치 개수</t>
    <phoneticPr fontId="5" type="noConversion"/>
  </si>
  <si>
    <t>150*150 *3</t>
    <phoneticPr fontId="5" type="noConversion"/>
  </si>
  <si>
    <t>(148/2) * (148 /2)</t>
    <phoneticPr fontId="5" type="noConversion"/>
  </si>
  <si>
    <t>74 * 74</t>
    <phoneticPr fontId="5" type="noConversion"/>
  </si>
  <si>
    <t>72*72</t>
    <phoneticPr fontId="5" type="noConversion"/>
  </si>
  <si>
    <t>(72/2) * (72/2)</t>
    <phoneticPr fontId="5" type="noConversion"/>
  </si>
  <si>
    <t>36*36</t>
    <phoneticPr fontId="5" type="noConversion"/>
  </si>
  <si>
    <t>34*34</t>
    <phoneticPr fontId="5" type="noConversion"/>
  </si>
  <si>
    <t>17*17</t>
    <phoneticPr fontId="5" type="noConversion"/>
  </si>
  <si>
    <t>파라미터 수=(커널 높이×커널 너비×입력 채널 수+1)×필터 수</t>
    <phoneticPr fontId="5" type="noConversion"/>
  </si>
  <si>
    <t>Flatten</t>
    <phoneticPr fontId="5" type="noConversion"/>
  </si>
  <si>
    <t>Dense</t>
    <phoneticPr fontId="5" type="noConversion"/>
  </si>
  <si>
    <t>가중치</t>
    <phoneticPr fontId="5" type="noConversion"/>
  </si>
  <si>
    <t>최종 가중치</t>
    <phoneticPr fontId="5" type="noConversion"/>
  </si>
  <si>
    <t>bias</t>
    <phoneticPr fontId="5" type="noConversion"/>
  </si>
  <si>
    <t>3*3*1*32</t>
    <phoneticPr fontId="5" type="noConversion"/>
  </si>
  <si>
    <t>학습 후 가중치 맵</t>
    <phoneticPr fontId="5" type="noConversion"/>
  </si>
  <si>
    <t>학습전 가중치 맵</t>
    <phoneticPr fontId="5" type="noConversion"/>
  </si>
  <si>
    <t>glorot_uniform</t>
  </si>
  <si>
    <t>합성곱 신경망의 앞부분에 있는 합성곱 층은 이미지의 시각적인 정보를 감지(저차원 특징), 뒤쪽에 있는 합성곱층은</t>
  </si>
  <si>
    <t>앞쪽에서 감지한 시각적인 정보를 바탕으로 추상적인 정보를 학습</t>
  </si>
  <si>
    <t>ROI 풀링</t>
    <phoneticPr fontId="5" type="noConversion"/>
  </si>
  <si>
    <t>특성(feature) 맵</t>
    <phoneticPr fontId="5" type="noConversion"/>
  </si>
  <si>
    <t>선택적 탐색</t>
    <phoneticPr fontId="5" type="noConversion"/>
  </si>
  <si>
    <t>후보 영역</t>
    <phoneticPr fontId="5" type="noConversion"/>
  </si>
  <si>
    <t>stride</t>
    <phoneticPr fontId="5" type="noConversion"/>
  </si>
  <si>
    <t>FAST R-CNN</t>
    <phoneticPr fontId="5" type="noConversion"/>
  </si>
  <si>
    <t>R-CNN</t>
    <phoneticPr fontId="5" type="noConversion"/>
  </si>
  <si>
    <t>FASTER R-CNN</t>
    <phoneticPr fontId="5" type="noConversion"/>
  </si>
  <si>
    <t>에 RPN(Region Proposal Network, 후보 영역 추출 네트워크)을 마지막 합성곱층에 위치</t>
    <phoneticPr fontId="5" type="noConversion"/>
  </si>
  <si>
    <t>256-d는 보통 딥러닝 모델에서 사용되는 256 차원의 벡터를 나타냅니다. 여기서 "d"는 "dimension"의 약자로, 벡터의 차원을 의미합니다. 256이라는 숫자는 다음과 같은 이유로 선택될 수 있습니다:</t>
  </si>
  <si>
    <r>
      <t>1. 특징 표현</t>
    </r>
    <r>
      <rPr>
        <sz val="11"/>
        <color rgb="FF000000"/>
        <rFont val="Arial"/>
        <family val="2"/>
      </rPr>
      <t>: 256 차원은 이미지나 객체의 다양한 특징을 효과적으로 표현하기에 적절한 크기입니다. 이 정도의 차원은 모델이 충분한 정보를 학습할 수 있도록 도와줍니다.</t>
    </r>
  </si>
  <si>
    <r>
      <t>2. 계산 효율성</t>
    </r>
    <r>
      <rPr>
        <sz val="11"/>
        <color rgb="FF000000"/>
        <rFont val="Arial"/>
        <family val="2"/>
      </rPr>
      <t>: 차원이 너무 높으면 계산 비용이 증가하고 과적합(overfitting) 문제가 발생할 수 있습니다. 반면에 너무 낮은 차원은 정보 손실을 초래할 수 있습니다. 256은 이 두 가지 사이의 균형을 잘 맞춘 값으로 자주 사용됩니다.</t>
    </r>
  </si>
  <si>
    <r>
      <t>3. 모델 성능</t>
    </r>
    <r>
      <rPr>
        <sz val="11"/>
        <color rgb="FF000000"/>
        <rFont val="Arial"/>
        <family val="2"/>
      </rPr>
      <t>: 많은 연구에서 256 차원이 여러 이미지 처리 및 객체 검출 작업에서 효과적인 성능을 발휘하는 것으로 나타났습니다.</t>
    </r>
  </si>
  <si>
    <t>그림 설명</t>
  </si>
  <si>
    <r>
      <t>각체 유형 분류</t>
    </r>
    <r>
      <rPr>
        <sz val="11"/>
        <color rgb="FF000000"/>
        <rFont val="Arial"/>
        <family val="2"/>
      </rPr>
      <t>: 스코어 출력을 통해 두 가지 유형의 객체를 분류합니다.</t>
    </r>
  </si>
  <si>
    <r>
      <t>바운딩 박스 회귀</t>
    </r>
    <r>
      <rPr>
        <sz val="11"/>
        <color rgb="FF000000"/>
        <rFont val="Arial"/>
        <family val="2"/>
      </rPr>
      <t>: 네 개의 바운딩 박스 출력을 통해 객체의 위치를 조정합니다.</t>
    </r>
  </si>
  <si>
    <r>
      <t>앵커</t>
    </r>
    <r>
      <rPr>
        <sz val="11"/>
        <color rgb="FF000000"/>
        <rFont val="Arial"/>
        <family val="2"/>
      </rPr>
      <t>: 앵커 박스는 사전 정의된 바운딩 박스의 위치로, 객체 검출 시 초기 제안으로 사용됩니다.</t>
    </r>
  </si>
  <si>
    <r>
      <t>레퍼런스 박스</t>
    </r>
    <r>
      <rPr>
        <sz val="11"/>
        <color rgb="FF000000"/>
        <rFont val="Arial"/>
        <family val="2"/>
      </rPr>
      <t>: 최종적으로 정제된 바운딩 박스를 나타냅니다.</t>
    </r>
  </si>
  <si>
    <t>이러한 구성은 객체 검출 모델이 입력 이미지에서 다양한 객체를 정확하게 탐지하고 그 위치를 조정하는 데 필요한 과정을 보여줍니다. 256-d 벡터는 이러한 특징을 효과적으로 표현하기 위한 방법 중 하나입니다.</t>
  </si>
  <si>
    <t>교집합 면적</t>
    <phoneticPr fontId="5" type="noConversion"/>
  </si>
  <si>
    <t>만 화소</t>
    <phoneticPr fontId="5" type="noConversion"/>
  </si>
  <si>
    <t>합집합 면적</t>
    <phoneticPr fontId="5" type="noConversion"/>
  </si>
  <si>
    <t>IoU</t>
    <phoneticPr fontId="5" type="noConversion"/>
  </si>
  <si>
    <t>현재 예측박스가 IoU 임계값을 넘으면 참 긍정(TP), 그렇지 않으면 거짓긍정(FP)</t>
    <phoneticPr fontId="5" type="noConversion"/>
  </si>
  <si>
    <t>a,b</t>
    <phoneticPr fontId="5" type="noConversion"/>
  </si>
  <si>
    <t>d</t>
    <phoneticPr fontId="5" type="noConversion"/>
  </si>
  <si>
    <t>c,f</t>
    <phoneticPr fontId="5" type="noConversion"/>
  </si>
  <si>
    <t>0의 개수</t>
    <phoneticPr fontId="5" type="noConversion"/>
  </si>
  <si>
    <t>1의 개수</t>
    <phoneticPr fontId="5" type="noConversion"/>
  </si>
  <si>
    <t>참값</t>
    <phoneticPr fontId="5" type="noConversion"/>
  </si>
  <si>
    <t xml:space="preserve"> </t>
    <phoneticPr fontId="5" type="noConversion"/>
  </si>
  <si>
    <t>2의 개수</t>
    <phoneticPr fontId="5" type="noConversion"/>
  </si>
  <si>
    <t>IoU</t>
    <phoneticPr fontId="5" type="noConversion"/>
  </si>
  <si>
    <t>PA</t>
    <phoneticPr fontId="5" type="noConversion"/>
  </si>
  <si>
    <t>맞힌 화소수</t>
    <phoneticPr fontId="5" type="noConversion"/>
  </si>
  <si>
    <t>전체 화소수</t>
    <phoneticPr fontId="5" type="noConversion"/>
  </si>
  <si>
    <t>MPA</t>
    <phoneticPr fontId="5" type="noConversion"/>
  </si>
  <si>
    <t>Dice 계수</t>
    <phoneticPr fontId="5" type="noConversion"/>
  </si>
  <si>
    <t>✅ 전치 컨볼루션 개념 요약</t>
  </si>
  <si>
    <t>**전치 컨볼루션(Transposed Convolution)**은 출력 크기를 키우는 연산입니다.</t>
  </si>
  <si>
    <t>예: 2×2 입력에 커널 2×2, 스트라이드 1이면 → 출력은 3×3이 됩니다.</t>
  </si>
  <si>
    <t>보통 이미지 업샘플링, GAN에서 디코더 부분에 사용됩니다.</t>
  </si>
  <si>
    <t>스트라이드</t>
    <phoneticPr fontId="5" type="noConversion"/>
  </si>
  <si>
    <t>패딩</t>
    <phoneticPr fontId="5" type="noConversion"/>
  </si>
  <si>
    <t>없음</t>
    <phoneticPr fontId="5" type="noConversion"/>
  </si>
  <si>
    <r>
      <t xml:space="preserve">전치 컨볼루션(Transposed Convolution)은 일반적인 컨볼루션과 반대되는 연산으로, 종종 업샘플링(해상도 증가)에 사용됩니다. 쉽게 이해할 수 있도록, 아래에 </t>
    </r>
    <r>
      <rPr>
        <b/>
        <sz val="11"/>
        <color theme="1"/>
        <rFont val="맑은 고딕"/>
        <family val="3"/>
        <charset val="129"/>
        <scheme val="minor"/>
      </rPr>
      <t>엑셀</t>
    </r>
    <r>
      <rPr>
        <sz val="11"/>
        <color theme="1"/>
        <rFont val="맑은 고딕"/>
        <family val="2"/>
        <scheme val="minor"/>
      </rPr>
      <t xml:space="preserve">과 </t>
    </r>
    <r>
      <rPr>
        <b/>
        <sz val="11"/>
        <color theme="1"/>
        <rFont val="맑은 고딕"/>
        <family val="3"/>
        <charset val="129"/>
        <scheme val="minor"/>
      </rPr>
      <t>파이썬</t>
    </r>
    <r>
      <rPr>
        <sz val="11"/>
        <color theme="1"/>
        <rFont val="맑은 고딕"/>
        <family val="2"/>
        <scheme val="minor"/>
      </rPr>
      <t>에서의 예시를 차근차근 설명해드릴게요.</t>
    </r>
    <phoneticPr fontId="5" type="noConversion"/>
  </si>
  <si>
    <t>입력 배열의 각 값 하나하나가,</t>
  </si>
  <si>
    <r>
      <t>자신의 값 × 커널</t>
    </r>
    <r>
      <rPr>
        <sz val="11"/>
        <color theme="1"/>
        <rFont val="맑은 고딕"/>
        <family val="2"/>
        <scheme val="minor"/>
      </rPr>
      <t xml:space="preserve">이 되어 출력 배열의 알맞은 위치에 </t>
    </r>
    <r>
      <rPr>
        <b/>
        <sz val="11"/>
        <color theme="1"/>
        <rFont val="맑은 고딕"/>
        <family val="3"/>
        <charset val="129"/>
        <scheme val="minor"/>
      </rPr>
      <t>덧셈</t>
    </r>
    <r>
      <rPr>
        <sz val="11"/>
        <color theme="1"/>
        <rFont val="맑은 고딕"/>
        <family val="2"/>
        <scheme val="minor"/>
      </rPr>
      <t xml:space="preserve"> 방식으로 더해짐.</t>
    </r>
  </si>
  <si>
    <t>https://colab.research.google.com/drive/1GZ-oRK0PcdVWosqBq57s6_Pj436xmsoD#scrollTo=VCYmQv2PpUc6</t>
    <phoneticPr fontId="5" type="noConversion"/>
  </si>
  <si>
    <t>전치 컨볼루션 작동 방식 요약</t>
    <phoneticPr fontId="5" type="noConversion"/>
  </si>
  <si>
    <t>COCO 부류</t>
    <phoneticPr fontId="5" type="noConversion"/>
  </si>
  <si>
    <t>person</t>
    <phoneticPr fontId="5" type="noConversion"/>
  </si>
  <si>
    <t>bicycle</t>
    <phoneticPr fontId="5" type="noConversion"/>
  </si>
  <si>
    <t>toothbrush</t>
    <phoneticPr fontId="5" type="noConversion"/>
  </si>
  <si>
    <t>background</t>
    <phoneticPr fontId="5" type="noConversion"/>
  </si>
  <si>
    <t>출력 텐서의 0번 맵</t>
    <phoneticPr fontId="5" type="noConversion"/>
  </si>
  <si>
    <t>배경</t>
    <phoneticPr fontId="5" type="noConversion"/>
  </si>
  <si>
    <t>배경(0)</t>
    <phoneticPr fontId="5" type="noConversion"/>
  </si>
  <si>
    <t>사람(1)</t>
    <phoneticPr fontId="5" type="noConversion"/>
  </si>
  <si>
    <t>자전거(2)</t>
    <phoneticPr fontId="5" type="noConversion"/>
  </si>
  <si>
    <t>예측 텐서</t>
    <phoneticPr fontId="5" type="noConversion"/>
  </si>
  <si>
    <t>합</t>
    <phoneticPr fontId="5" type="noConversion"/>
  </si>
  <si>
    <t>=MAX(B45,I45,P45)</t>
    <phoneticPr fontId="5" type="noConversion"/>
  </si>
  <si>
    <t>예측맵</t>
    <phoneticPr fontId="5" type="noConversion"/>
  </si>
  <si>
    <t>FCN</t>
    <phoneticPr fontId="5" type="noConversion"/>
  </si>
  <si>
    <t>U-Net</t>
    <phoneticPr fontId="5" type="noConversion"/>
  </si>
  <si>
    <t>DeepLabv3</t>
    <phoneticPr fontId="5" type="noConversion"/>
  </si>
  <si>
    <t>DeepLabv3+</t>
    <phoneticPr fontId="5" type="noConversion"/>
  </si>
  <si>
    <t>전치 컨벌루션 다시</t>
    <phoneticPr fontId="5" type="noConversion"/>
  </si>
  <si>
    <t>입력</t>
    <phoneticPr fontId="5" type="noConversion"/>
  </si>
  <si>
    <r>
      <t>input = np.array([[</t>
    </r>
    <r>
      <rPr>
        <sz val="11"/>
        <color rgb="FF116644"/>
        <rFont val="Courier New"/>
        <family val="3"/>
      </rPr>
      <t>1</t>
    </r>
    <r>
      <rPr>
        <sz val="11"/>
        <color rgb="FF000000"/>
        <rFont val="Courier New"/>
        <family val="3"/>
      </rPr>
      <t xml:space="preserve">, </t>
    </r>
    <r>
      <rPr>
        <sz val="11"/>
        <color rgb="FF116644"/>
        <rFont val="Courier New"/>
        <family val="3"/>
      </rPr>
      <t>2</t>
    </r>
    <r>
      <rPr>
        <sz val="11"/>
        <color rgb="FF000000"/>
        <rFont val="Courier New"/>
        <family val="3"/>
      </rPr>
      <t>],</t>
    </r>
  </si>
  <si>
    <r>
      <t>                  [</t>
    </r>
    <r>
      <rPr>
        <sz val="11"/>
        <color rgb="FF116644"/>
        <rFont val="Courier New"/>
        <family val="3"/>
      </rPr>
      <t>3</t>
    </r>
    <r>
      <rPr>
        <sz val="11"/>
        <color rgb="FF000000"/>
        <rFont val="Courier New"/>
        <family val="3"/>
      </rPr>
      <t xml:space="preserve">, </t>
    </r>
    <r>
      <rPr>
        <sz val="11"/>
        <color rgb="FF116644"/>
        <rFont val="Courier New"/>
        <family val="3"/>
      </rPr>
      <t>4</t>
    </r>
    <r>
      <rPr>
        <sz val="11"/>
        <color rgb="FF000000"/>
        <rFont val="Courier New"/>
        <family val="3"/>
      </rPr>
      <t>]])</t>
    </r>
  </si>
  <si>
    <t>input_h, input_w = input.shape</t>
    <phoneticPr fontId="5" type="noConversion"/>
  </si>
  <si>
    <t>(</t>
    <phoneticPr fontId="5" type="noConversion"/>
  </si>
  <si>
    <t>)</t>
    <phoneticPr fontId="5" type="noConversion"/>
  </si>
  <si>
    <t>stride</t>
    <phoneticPr fontId="5" type="noConversion"/>
  </si>
  <si>
    <r>
      <t>kernel = np.array([[</t>
    </r>
    <r>
      <rPr>
        <sz val="11"/>
        <color rgb="FF116644"/>
        <rFont val="Courier New"/>
        <family val="3"/>
      </rPr>
      <t>1</t>
    </r>
    <r>
      <rPr>
        <sz val="11"/>
        <color rgb="FF000000"/>
        <rFont val="Courier New"/>
        <family val="3"/>
      </rPr>
      <t xml:space="preserve">, </t>
    </r>
    <r>
      <rPr>
        <sz val="11"/>
        <color rgb="FF116644"/>
        <rFont val="Courier New"/>
        <family val="3"/>
      </rPr>
      <t>0</t>
    </r>
    <r>
      <rPr>
        <sz val="11"/>
        <color rgb="FF000000"/>
        <rFont val="Courier New"/>
        <family val="3"/>
      </rPr>
      <t>],</t>
    </r>
  </si>
  <si>
    <r>
      <t>                   [</t>
    </r>
    <r>
      <rPr>
        <sz val="11"/>
        <color rgb="FF116644"/>
        <rFont val="Courier New"/>
        <family val="3"/>
      </rPr>
      <t>0</t>
    </r>
    <r>
      <rPr>
        <sz val="11"/>
        <color rgb="FF000000"/>
        <rFont val="Courier New"/>
        <family val="3"/>
      </rPr>
      <t xml:space="preserve">, </t>
    </r>
    <r>
      <rPr>
        <sz val="11"/>
        <color rgb="FF116644"/>
        <rFont val="Courier New"/>
        <family val="3"/>
      </rPr>
      <t>1</t>
    </r>
    <r>
      <rPr>
        <sz val="11"/>
        <color rgb="FF000000"/>
        <rFont val="Courier New"/>
        <family val="3"/>
      </rPr>
      <t>]])</t>
    </r>
  </si>
  <si>
    <t>kernel_h, kernel_w = kernel.shape</t>
  </si>
  <si>
    <t>출력크기 h</t>
    <phoneticPr fontId="5" type="noConversion"/>
  </si>
  <si>
    <t>출력크기 w</t>
    <phoneticPr fontId="5" type="noConversion"/>
  </si>
  <si>
    <t>교재_399페이지</t>
    <phoneticPr fontId="5" type="noConversion"/>
  </si>
  <si>
    <t>m</t>
    <phoneticPr fontId="5" type="noConversion"/>
  </si>
  <si>
    <t>h</t>
    <phoneticPr fontId="5" type="noConversion"/>
  </si>
  <si>
    <t>s</t>
    <phoneticPr fontId="5" type="noConversion"/>
  </si>
  <si>
    <t>m'</t>
    <phoneticPr fontId="5" type="noConversion"/>
  </si>
  <si>
    <t>+1</t>
    <phoneticPr fontId="5" type="noConversion"/>
  </si>
  <si>
    <t xml:space="preserve">  ( c )</t>
    <phoneticPr fontId="5" type="noConversion"/>
  </si>
  <si>
    <t xml:space="preserve"> ( b )</t>
    <phoneticPr fontId="5" type="noConversion"/>
  </si>
  <si>
    <t xml:space="preserve"> ( a )</t>
    <phoneticPr fontId="5" type="noConversion"/>
  </si>
  <si>
    <t>전치 컨볼루션 3단계</t>
    <phoneticPr fontId="5" type="noConversion"/>
  </si>
  <si>
    <t>s</t>
    <phoneticPr fontId="5" type="noConversion"/>
  </si>
  <si>
    <t>s'</t>
    <phoneticPr fontId="5" type="noConversion"/>
  </si>
  <si>
    <t>새로운 영상</t>
    <phoneticPr fontId="5" type="noConversion"/>
  </si>
  <si>
    <t>(5X5)</t>
    <phoneticPr fontId="5" type="noConversion"/>
  </si>
  <si>
    <t>단계 1</t>
    <phoneticPr fontId="5" type="noConversion"/>
  </si>
  <si>
    <t>h</t>
    <phoneticPr fontId="5" type="noConversion"/>
  </si>
  <si>
    <t>q'</t>
    <phoneticPr fontId="5" type="noConversion"/>
  </si>
  <si>
    <t>단계 2</t>
    <phoneticPr fontId="5" type="noConversion"/>
  </si>
  <si>
    <t>단계 3</t>
    <phoneticPr fontId="5" type="noConversion"/>
  </si>
  <si>
    <t>m=7</t>
    <phoneticPr fontId="5" type="noConversion"/>
  </si>
  <si>
    <t>FCN을 확장한 DeConvNet과 U-net</t>
    <phoneticPr fontId="5" type="noConversion"/>
  </si>
  <si>
    <t>DeepLabv3+</t>
    <phoneticPr fontId="5" type="noConversion"/>
  </si>
  <si>
    <t>를 구현한 pixellib</t>
    <phoneticPr fontId="5" type="noConversion"/>
  </si>
  <si>
    <t>Convolution</t>
    <phoneticPr fontId="5" type="noConversion"/>
  </si>
  <si>
    <t>Block</t>
    <phoneticPr fontId="5" type="noConversion"/>
  </si>
  <si>
    <t>Attention</t>
    <phoneticPr fontId="5" type="noConversion"/>
  </si>
  <si>
    <t>Model</t>
    <phoneticPr fontId="5" type="noConversion"/>
  </si>
  <si>
    <t>: 채널과 공간 위치 모두에 주목을 적용</t>
    <phoneticPr fontId="5" type="noConversion"/>
  </si>
  <si>
    <t>빨간색 선분의 굵기가 가중치</t>
    <phoneticPr fontId="5" type="noConversion"/>
  </si>
  <si>
    <t>Vit</t>
    <phoneticPr fontId="5" type="noConversion"/>
  </si>
  <si>
    <t>분류를 위한 비전 트랜스포머</t>
    <phoneticPr fontId="5" type="noConversion"/>
  </si>
  <si>
    <t>DeTR</t>
    <phoneticPr fontId="5" type="noConversion"/>
  </si>
  <si>
    <t xml:space="preserve">검출을 위한 </t>
    <phoneticPr fontId="5" type="noConversion"/>
  </si>
  <si>
    <t>SeTR</t>
    <phoneticPr fontId="5" type="noConversion"/>
  </si>
  <si>
    <t>분할을 위한</t>
    <phoneticPr fontId="5" type="noConversion"/>
  </si>
  <si>
    <t>MOTR</t>
    <phoneticPr fontId="5" type="noConversion"/>
  </si>
  <si>
    <t>추적을 위한</t>
    <phoneticPr fontId="5" type="noConversion"/>
  </si>
  <si>
    <t>Swin</t>
    <phoneticPr fontId="5" type="noConversion"/>
  </si>
  <si>
    <t>같은 구조의 트랜스포머로 분류, 검출, 분할, 추적 문제를 푸는 추세</t>
    <phoneticPr fontId="5" type="noConversion"/>
  </si>
  <si>
    <t>단어 임베딩 모델</t>
    <phoneticPr fontId="5" type="noConversion"/>
  </si>
  <si>
    <t>word2vec</t>
    <phoneticPr fontId="5" type="noConversion"/>
  </si>
  <si>
    <t>Glove</t>
    <phoneticPr fontId="5" type="noConversion"/>
  </si>
  <si>
    <t>ELMO 등</t>
    <phoneticPr fontId="5" type="noConversion"/>
  </si>
  <si>
    <t>query-key-value로 계산하는 주목</t>
  </si>
  <si>
    <t>밸류(답)</t>
  </si>
  <si>
    <t>쿼리(질문)</t>
  </si>
  <si>
    <t>키(단서)</t>
  </si>
  <si>
    <t>query</t>
  </si>
  <si>
    <t>k1</t>
  </si>
  <si>
    <t>k2</t>
  </si>
  <si>
    <t>k3</t>
  </si>
  <si>
    <t>k4</t>
  </si>
  <si>
    <t>key</t>
  </si>
  <si>
    <t>s(유사도)</t>
  </si>
  <si>
    <t>소프트맥스 e^s</t>
  </si>
  <si>
    <t>v1</t>
  </si>
  <si>
    <t>v2</t>
  </si>
  <si>
    <t>v3</t>
  </si>
  <si>
    <t>v4</t>
  </si>
  <si>
    <t>value</t>
  </si>
  <si>
    <t>문맥(context vector)</t>
  </si>
  <si>
    <t>주목을 반영한 seq2seq 모델</t>
  </si>
  <si>
    <t>저게</t>
  </si>
  <si>
    <t>저절로</t>
  </si>
  <si>
    <t>붉어질</t>
  </si>
  <si>
    <t>리</t>
  </si>
  <si>
    <t>없다</t>
  </si>
  <si>
    <t>시퀀스투시퀀스 모델링_트랜스포머 네트워크</t>
    <phoneticPr fontId="5" type="noConversion"/>
  </si>
  <si>
    <t>참조</t>
    <phoneticPr fontId="5" type="noConversion"/>
  </si>
  <si>
    <t>https://docs.google.com/spreadsheets/d/1OvKrsbBkBurr-8FvG6_AMpeWo-9WRCFGb_OhT8kzJ9M/edit?gid=1733448381#gid=1733448381</t>
    <phoneticPr fontId="5" type="noConversion"/>
  </si>
  <si>
    <t>p</t>
    <phoneticPr fontId="5" type="noConversion"/>
  </si>
  <si>
    <t>단계1</t>
    <phoneticPr fontId="5" type="noConversion"/>
  </si>
  <si>
    <t>w</t>
    <phoneticPr fontId="5" type="noConversion"/>
  </si>
  <si>
    <t>원 영상</t>
    <phoneticPr fontId="5" type="noConversion"/>
  </si>
  <si>
    <t>단계2</t>
    <phoneticPr fontId="5" type="noConversion"/>
  </si>
  <si>
    <t>단계3</t>
    <phoneticPr fontId="5" type="noConversion"/>
  </si>
  <si>
    <t>단계4</t>
    <phoneticPr fontId="5" type="noConversion"/>
  </si>
  <si>
    <t>dmodel 임베딩 층 통해</t>
    <phoneticPr fontId="5" type="noConversion"/>
  </si>
  <si>
    <t>로 변환</t>
    <phoneticPr fontId="5" type="noConversion"/>
  </si>
  <si>
    <t>행렬 S</t>
    <phoneticPr fontId="5" type="noConversion"/>
  </si>
  <si>
    <t>패치끼리 자기 주목을 계산</t>
    <phoneticPr fontId="5"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</si>
</sst>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0">
    <numFmt numFmtId="41" formatCode="_-* #,##0_-;\-* #,##0_-;_-* &quot;-&quot;_-;_-@_-"/>
    <numFmt numFmtId="176" formatCode="0.00_ "/>
    <numFmt numFmtId="177" formatCode="0_);[Red]\(0\)"/>
    <numFmt numFmtId="178" formatCode="0.00000000"/>
    <numFmt numFmtId="179" formatCode="0.000"/>
    <numFmt numFmtId="180" formatCode="0_ "/>
    <numFmt numFmtId="181" formatCode="0.0"/>
    <numFmt numFmtId="182" formatCode="0.0_ "/>
    <numFmt numFmtId="183" formatCode="_-* #,##0.0_-;\-* #,##0.0_-;_-* &quot;-&quot;_-;_-@_-"/>
    <numFmt numFmtId="184" formatCode="0.0000"/>
  </numFmts>
  <fonts count="179">
    <font>
      <sz val="11"/>
      <color theme="1"/>
      <name val="맑은 고딕"/>
      <family val="2"/>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8"/>
      <name val="맑은 고딕"/>
      <family val="3"/>
      <charset val="129"/>
      <scheme val="minor"/>
    </font>
    <font>
      <vertAlign val="superscript"/>
      <sz val="11"/>
      <color theme="1"/>
      <name val="맑은 고딕"/>
      <family val="3"/>
      <charset val="129"/>
      <scheme val="minor"/>
    </font>
    <font>
      <sz val="11"/>
      <color theme="1"/>
      <name val="맑은 고딕"/>
      <family val="3"/>
      <charset val="129"/>
      <scheme val="minor"/>
    </font>
    <font>
      <sz val="11"/>
      <color rgb="FFFF0000"/>
      <name val="맑은 고딕"/>
      <family val="2"/>
      <scheme val="minor"/>
    </font>
    <font>
      <u/>
      <sz val="11"/>
      <color theme="10"/>
      <name val="맑은 고딕"/>
      <family val="2"/>
      <scheme val="minor"/>
    </font>
    <font>
      <sz val="11"/>
      <color theme="1"/>
      <name val="Calibri"/>
      <family val="2"/>
    </font>
    <font>
      <sz val="11"/>
      <color theme="1"/>
      <name val="Malgun Gothic"/>
      <family val="3"/>
      <charset val="129"/>
    </font>
    <font>
      <sz val="11"/>
      <color theme="1"/>
      <name val="돋움"/>
      <family val="3"/>
      <charset val="129"/>
    </font>
    <font>
      <sz val="11"/>
      <color rgb="FF000000"/>
      <name val="Calibri"/>
      <family val="2"/>
    </font>
    <font>
      <sz val="12"/>
      <color rgb="FF202122"/>
      <name val="Arial"/>
      <family val="2"/>
    </font>
    <font>
      <sz val="14"/>
      <color rgb="FF202122"/>
      <name val="Arial"/>
      <family val="2"/>
    </font>
    <font>
      <b/>
      <sz val="11"/>
      <color theme="1"/>
      <name val="맑은 고딕"/>
      <family val="3"/>
      <charset val="129"/>
      <scheme val="minor"/>
    </font>
    <font>
      <sz val="13"/>
      <color rgb="FF262626"/>
      <name val="Arial"/>
      <family val="2"/>
    </font>
    <font>
      <sz val="13.95"/>
      <color rgb="FFFFFFFF"/>
      <name val="Arial"/>
      <family val="2"/>
    </font>
    <font>
      <sz val="8"/>
      <name val="맑은 고딕"/>
      <family val="2"/>
      <charset val="129"/>
      <scheme val="minor"/>
    </font>
    <font>
      <sz val="11"/>
      <color rgb="FF006100"/>
      <name val="맑은 고딕"/>
      <family val="2"/>
      <charset val="129"/>
      <scheme val="minor"/>
    </font>
    <font>
      <b/>
      <sz val="14"/>
      <color theme="4"/>
      <name val="맑은 고딕"/>
      <family val="3"/>
      <charset val="129"/>
      <scheme val="minor"/>
    </font>
    <font>
      <b/>
      <sz val="14"/>
      <color rgb="FFFF0000"/>
      <name val="맑은 고딕"/>
      <family val="3"/>
      <charset val="129"/>
      <scheme val="minor"/>
    </font>
    <font>
      <b/>
      <sz val="11"/>
      <color theme="4" tint="-0.249977111117893"/>
      <name val="맑은 고딕"/>
      <family val="3"/>
      <charset val="129"/>
      <scheme val="minor"/>
    </font>
    <font>
      <sz val="11"/>
      <color rgb="FF00B0F0"/>
      <name val="맑은 고딕"/>
      <family val="2"/>
      <scheme val="minor"/>
    </font>
    <font>
      <b/>
      <sz val="16"/>
      <color rgb="FF00B0F0"/>
      <name val="맑은 고딕"/>
      <family val="3"/>
      <charset val="129"/>
      <scheme val="minor"/>
    </font>
    <font>
      <sz val="8"/>
      <color theme="1"/>
      <name val="맑은 고딕"/>
      <family val="2"/>
      <scheme val="minor"/>
    </font>
    <font>
      <sz val="8"/>
      <color theme="1"/>
      <name val="맑은 고딕"/>
      <family val="3"/>
      <charset val="129"/>
      <scheme val="minor"/>
    </font>
    <font>
      <sz val="8"/>
      <color rgb="FFFF0000"/>
      <name val="맑은 고딕"/>
      <family val="3"/>
      <charset val="129"/>
      <scheme val="minor"/>
    </font>
    <font>
      <b/>
      <sz val="9"/>
      <color rgb="FFFF0000"/>
      <name val="맑은 고딕"/>
      <family val="3"/>
      <charset val="129"/>
      <scheme val="minor"/>
    </font>
    <font>
      <sz val="11"/>
      <color rgb="FFFF0000"/>
      <name val="맑은 고딕"/>
      <family val="2"/>
      <charset val="129"/>
      <scheme val="minor"/>
    </font>
    <font>
      <b/>
      <sz val="8"/>
      <color theme="1"/>
      <name val="맑은 고딕"/>
      <family val="3"/>
      <charset val="129"/>
      <scheme val="minor"/>
    </font>
    <font>
      <sz val="11"/>
      <name val="맑은 고딕"/>
      <family val="2"/>
      <scheme val="minor"/>
    </font>
    <font>
      <sz val="11"/>
      <color theme="4"/>
      <name val="맑은 고딕"/>
      <family val="2"/>
      <scheme val="minor"/>
    </font>
    <font>
      <sz val="18"/>
      <color theme="1"/>
      <name val="맑은 고딕"/>
      <family val="2"/>
      <charset val="129"/>
      <scheme val="minor"/>
    </font>
    <font>
      <sz val="18"/>
      <color theme="1"/>
      <name val="맑은 고딕"/>
      <family val="3"/>
      <charset val="129"/>
      <scheme val="minor"/>
    </font>
    <font>
      <b/>
      <sz val="11"/>
      <color rgb="FF00B050"/>
      <name val="맑은 고딕"/>
      <family val="3"/>
      <charset val="129"/>
      <scheme val="minor"/>
    </font>
    <font>
      <sz val="11"/>
      <color rgb="FF000000"/>
      <name val="Consolas"/>
      <family val="3"/>
    </font>
    <font>
      <sz val="11"/>
      <color rgb="FF098658"/>
      <name val="Consolas"/>
      <family val="3"/>
    </font>
    <font>
      <sz val="11"/>
      <color rgb="FFA31515"/>
      <name val="Consolas"/>
      <family val="3"/>
    </font>
    <font>
      <vertAlign val="subscript"/>
      <sz val="11"/>
      <color theme="1"/>
      <name val="맑은 고딕"/>
      <family val="3"/>
      <charset val="129"/>
      <scheme val="minor"/>
    </font>
    <font>
      <b/>
      <sz val="11"/>
      <color rgb="FFFF0000"/>
      <name val="맑은 고딕"/>
      <family val="3"/>
      <charset val="129"/>
      <scheme val="minor"/>
    </font>
    <font>
      <sz val="11"/>
      <color rgb="FFFF0000"/>
      <name val="Arial Unicode MS"/>
      <family val="2"/>
    </font>
    <font>
      <b/>
      <sz val="12"/>
      <color rgb="FF202122"/>
      <name val="Arial"/>
      <family val="2"/>
    </font>
    <font>
      <vertAlign val="superscript"/>
      <sz val="10"/>
      <color rgb="FF202122"/>
      <name val="Arial"/>
      <family val="2"/>
    </font>
    <font>
      <b/>
      <sz val="12"/>
      <color rgb="FF202122"/>
      <name val="돋움"/>
      <family val="3"/>
      <charset val="129"/>
    </font>
    <font>
      <sz val="12"/>
      <color rgb="FF202122"/>
      <name val="돋움"/>
      <family val="3"/>
      <charset val="129"/>
    </font>
    <font>
      <sz val="12"/>
      <color theme="1"/>
      <name val="돋움"/>
      <family val="3"/>
      <charset val="129"/>
    </font>
    <font>
      <sz val="9"/>
      <color theme="1"/>
      <name val="맑은 고딕"/>
      <family val="2"/>
      <scheme val="minor"/>
    </font>
    <font>
      <b/>
      <sz val="11"/>
      <color rgb="FFFF0000"/>
      <name val="Calibri"/>
      <family val="2"/>
    </font>
    <font>
      <b/>
      <sz val="14.3"/>
      <color rgb="FF24292F"/>
      <name val="Arial"/>
      <family val="2"/>
    </font>
    <font>
      <sz val="12"/>
      <color rgb="FF24292F"/>
      <name val="Arial"/>
      <family val="2"/>
    </font>
    <font>
      <b/>
      <sz val="14.3"/>
      <color rgb="FF24292F"/>
      <name val="돋움"/>
      <family val="3"/>
      <charset val="129"/>
    </font>
    <font>
      <b/>
      <sz val="11"/>
      <color rgb="FFFF0000"/>
      <name val="Consolas"/>
      <family val="3"/>
    </font>
    <font>
      <b/>
      <sz val="9"/>
      <color rgb="FFE46C0A"/>
      <name val="맑은 고딕"/>
      <family val="3"/>
      <charset val="129"/>
      <scheme val="minor"/>
    </font>
    <font>
      <sz val="11"/>
      <color rgb="FFFF0000"/>
      <name val="맑은 고딕"/>
      <family val="3"/>
      <charset val="129"/>
      <scheme val="minor"/>
    </font>
    <font>
      <b/>
      <i/>
      <sz val="11"/>
      <color rgb="FFFF0000"/>
      <name val="맑은 고딕"/>
      <family val="3"/>
      <charset val="129"/>
      <scheme val="minor"/>
    </font>
    <font>
      <sz val="11"/>
      <color rgb="FF0000FF"/>
      <name val="Consolas"/>
      <family val="3"/>
    </font>
    <font>
      <sz val="12"/>
      <color rgb="FF222832"/>
      <name val="Segoe UI"/>
      <family val="2"/>
    </font>
    <font>
      <b/>
      <sz val="12.1"/>
      <color theme="1"/>
      <name val="Consolas"/>
      <family val="3"/>
    </font>
    <font>
      <b/>
      <sz val="12"/>
      <color rgb="FF222832"/>
      <name val="Consolas"/>
      <family val="3"/>
    </font>
    <font>
      <b/>
      <i/>
      <sz val="12"/>
      <color rgb="FF222832"/>
      <name val="Consolas"/>
      <family val="3"/>
    </font>
    <font>
      <i/>
      <sz val="12"/>
      <color rgb="FF222832"/>
      <name val="Consolas"/>
      <family val="3"/>
    </font>
    <font>
      <b/>
      <i/>
      <sz val="12"/>
      <color rgb="FFFF0000"/>
      <name val="Consolas"/>
      <family val="3"/>
    </font>
    <font>
      <i/>
      <sz val="12"/>
      <color rgb="FFFF0000"/>
      <name val="Consolas"/>
      <family val="3"/>
    </font>
    <font>
      <i/>
      <sz val="11"/>
      <color rgb="FFFF0000"/>
      <name val="Consolas"/>
      <family val="3"/>
    </font>
    <font>
      <b/>
      <sz val="17"/>
      <color rgb="FF5D5D5D"/>
      <name val="Arial"/>
      <family val="2"/>
    </font>
    <font>
      <b/>
      <sz val="20"/>
      <color theme="1"/>
      <name val="맑은 고딕"/>
      <family val="3"/>
      <charset val="129"/>
      <scheme val="minor"/>
    </font>
    <font>
      <b/>
      <sz val="13.5"/>
      <color theme="1"/>
      <name val="맑은 고딕"/>
      <family val="3"/>
      <charset val="129"/>
      <scheme val="minor"/>
    </font>
    <font>
      <sz val="10"/>
      <color theme="1"/>
      <name val="Arial Unicode MS"/>
      <family val="2"/>
    </font>
    <font>
      <sz val="11"/>
      <color rgb="FFFF0000"/>
      <name val="Malgun Gothic"/>
      <family val="3"/>
      <charset val="129"/>
    </font>
    <font>
      <sz val="8"/>
      <color theme="1"/>
      <name val="Malgun Gothic"/>
      <family val="3"/>
      <charset val="129"/>
    </font>
    <font>
      <sz val="11"/>
      <color rgb="FF70AD47"/>
      <name val="Malgun Gothic"/>
      <family val="3"/>
      <charset val="129"/>
    </font>
    <font>
      <sz val="11"/>
      <color rgb="FF4472C4"/>
      <name val="Malgun Gothic"/>
      <family val="3"/>
      <charset val="129"/>
    </font>
    <font>
      <sz val="11"/>
      <color rgb="FF00AF00"/>
      <name val="DejaVu Sans Mono"/>
      <family val="3"/>
    </font>
    <font>
      <sz val="8"/>
      <color rgb="FFFF0000"/>
      <name val="맑은 고딕"/>
      <family val="2"/>
      <scheme val="minor"/>
    </font>
    <font>
      <sz val="11"/>
      <color theme="1"/>
      <name val="Arial Unicode MS"/>
      <family val="2"/>
    </font>
    <font>
      <sz val="11"/>
      <color rgb="FFCD3131"/>
      <name val="Consolas"/>
      <family val="3"/>
    </font>
    <font>
      <b/>
      <sz val="10"/>
      <color theme="1"/>
      <name val="Arial Unicode MS"/>
      <family val="2"/>
    </font>
    <font>
      <sz val="8"/>
      <color rgb="FF000000"/>
      <name val="Consolas"/>
      <family val="3"/>
    </font>
    <font>
      <sz val="11"/>
      <color rgb="FF008000"/>
      <name val="Consolas"/>
      <family val="3"/>
    </font>
    <font>
      <sz val="11"/>
      <color rgb="FFFF0000"/>
      <name val="Arial"/>
      <family val="2"/>
    </font>
    <font>
      <sz val="8"/>
      <color rgb="FFFF0000"/>
      <name val="Arial"/>
      <family val="2"/>
    </font>
    <font>
      <sz val="8"/>
      <color rgb="FFFF0000"/>
      <name val="돋움"/>
      <family val="3"/>
      <charset val="129"/>
    </font>
    <font>
      <b/>
      <sz val="18"/>
      <color rgb="FF000000"/>
      <name val="Arial"/>
      <family val="2"/>
    </font>
    <font>
      <sz val="9"/>
      <color rgb="FF000000"/>
      <name val="맑은 고딕"/>
      <family val="3"/>
      <charset val="129"/>
    </font>
    <font>
      <sz val="12"/>
      <color rgb="FF212529"/>
      <name val="Arial"/>
      <family val="2"/>
    </font>
    <font>
      <sz val="11"/>
      <color rgb="FFFF0000"/>
      <name val="Calibri"/>
      <family val="2"/>
    </font>
    <font>
      <b/>
      <sz val="12"/>
      <color theme="1"/>
      <name val="맑은 고딕"/>
      <family val="3"/>
      <charset val="129"/>
      <scheme val="minor"/>
    </font>
    <font>
      <sz val="11"/>
      <color rgb="FFFF0000"/>
      <name val="Consolas"/>
      <family val="3"/>
    </font>
    <font>
      <b/>
      <sz val="10"/>
      <color rgb="FFFF0000"/>
      <name val="Arial Unicode MS"/>
      <family val="2"/>
    </font>
    <font>
      <b/>
      <sz val="11"/>
      <color rgb="FFFF0000"/>
      <name val="맑은 고딕"/>
      <family val="2"/>
      <scheme val="minor"/>
    </font>
    <font>
      <sz val="21"/>
      <color rgb="FF1F1F1F"/>
      <name val="Inherit"/>
      <family val="2"/>
    </font>
    <font>
      <sz val="10"/>
      <name val="Consolas"/>
      <family val="3"/>
    </font>
    <font>
      <b/>
      <sz val="28"/>
      <color theme="1"/>
      <name val="맑은 고딕"/>
      <family val="3"/>
      <charset val="129"/>
      <scheme val="minor"/>
    </font>
    <font>
      <sz val="16"/>
      <color rgb="FFFF0000"/>
      <name val="Arial"/>
      <family val="2"/>
    </font>
    <font>
      <sz val="11"/>
      <color rgb="FF008000"/>
      <name val="돋움"/>
      <family val="3"/>
      <charset val="129"/>
    </font>
    <font>
      <sz val="18"/>
      <color theme="1"/>
      <name val="Wingdings"/>
      <charset val="2"/>
    </font>
    <font>
      <b/>
      <sz val="18"/>
      <color rgb="FF504B4B"/>
      <name val="KoPub돋움체_Pro Bold"/>
      <family val="3"/>
      <charset val="129"/>
    </font>
    <font>
      <sz val="6"/>
      <color theme="1"/>
      <name val="맑은 고딕"/>
      <family val="2"/>
      <scheme val="minor"/>
    </font>
    <font>
      <sz val="11"/>
      <color theme="4" tint="-0.249977111117893"/>
      <name val="맑은 고딕"/>
      <family val="2"/>
      <scheme val="minor"/>
    </font>
    <font>
      <sz val="11"/>
      <color theme="9"/>
      <name val="맑은 고딕"/>
      <family val="2"/>
      <scheme val="minor"/>
    </font>
    <font>
      <sz val="6"/>
      <color theme="9"/>
      <name val="맑은 고딕"/>
      <family val="2"/>
      <scheme val="minor"/>
    </font>
    <font>
      <sz val="12"/>
      <color rgb="FF1F1F1F"/>
      <name val="Arial"/>
      <family val="2"/>
    </font>
    <font>
      <sz val="11"/>
      <color rgb="FF000000"/>
      <name val="Arial"/>
      <family val="2"/>
    </font>
    <font>
      <b/>
      <sz val="13"/>
      <color rgb="FF000000"/>
      <name val="Arial"/>
      <family val="2"/>
    </font>
    <font>
      <b/>
      <sz val="11"/>
      <color rgb="FF000000"/>
      <name val="Arial"/>
      <family val="2"/>
    </font>
    <font>
      <b/>
      <sz val="11"/>
      <color rgb="FF000000"/>
      <name val="돋움"/>
      <family val="3"/>
      <charset val="129"/>
    </font>
    <font>
      <sz val="11"/>
      <color rgb="FF000000"/>
      <name val="돋움"/>
      <family val="3"/>
      <charset val="129"/>
    </font>
    <font>
      <sz val="11"/>
      <color rgb="FFFF0000"/>
      <name val="돋움"/>
      <family val="3"/>
      <charset val="129"/>
    </font>
    <font>
      <sz val="11.5"/>
      <color rgb="FFFF0000"/>
      <name val="돋움"/>
      <family val="3"/>
      <charset val="129"/>
    </font>
    <font>
      <sz val="11.5"/>
      <color rgb="FFFF0000"/>
      <name val="Arial"/>
      <family val="2"/>
    </font>
    <font>
      <b/>
      <sz val="24"/>
      <color rgb="FF000000"/>
      <name val="Calibri"/>
      <family val="2"/>
    </font>
    <font>
      <b/>
      <sz val="12"/>
      <color theme="1"/>
      <name val="Inherit"/>
      <family val="2"/>
    </font>
    <font>
      <sz val="11"/>
      <color rgb="FF3B3B3B"/>
      <name val="Consolas"/>
      <family val="3"/>
    </font>
    <font>
      <sz val="10"/>
      <color rgb="FFFF0000"/>
      <name val="맑은 고딕"/>
      <family val="2"/>
      <scheme val="minor"/>
    </font>
    <font>
      <sz val="10"/>
      <color theme="1"/>
      <name val="Arial Unicode MS"/>
      <family val="3"/>
      <charset val="129"/>
    </font>
    <font>
      <b/>
      <sz val="10"/>
      <color theme="1"/>
      <name val="Arial Unicode MS"/>
      <family val="3"/>
      <charset val="129"/>
    </font>
    <font>
      <sz val="10"/>
      <color rgb="FFFF0000"/>
      <name val="Arial Unicode MS"/>
      <family val="3"/>
      <charset val="129"/>
    </font>
    <font>
      <sz val="12"/>
      <color rgb="FF000000"/>
      <name val="Malgun Gothic"/>
      <family val="3"/>
      <charset val="129"/>
    </font>
    <font>
      <sz val="10"/>
      <color theme="1"/>
      <name val="Arial"/>
      <family val="2"/>
    </font>
    <font>
      <sz val="12"/>
      <color rgb="FF0D0D0D"/>
      <name val="Arial"/>
      <family val="2"/>
    </font>
    <font>
      <b/>
      <sz val="11"/>
      <color rgb="FF0D0D0D"/>
      <name val="Arial"/>
      <family val="2"/>
    </font>
    <font>
      <b/>
      <sz val="12"/>
      <color rgb="FFFF0000"/>
      <name val="Arial"/>
      <family val="2"/>
    </font>
    <font>
      <sz val="11"/>
      <color rgb="FF0D0D0D"/>
      <name val="Arial"/>
      <family val="2"/>
    </font>
    <font>
      <b/>
      <sz val="12"/>
      <color rgb="FF0D0D0D"/>
      <name val="Arial"/>
      <family val="2"/>
    </font>
    <font>
      <sz val="11"/>
      <color theme="5" tint="-0.249977111117893"/>
      <name val="Consolas"/>
      <family val="3"/>
    </font>
    <font>
      <sz val="11"/>
      <color rgb="FFA31515"/>
      <name val="돋움"/>
      <family val="3"/>
      <charset val="129"/>
    </font>
    <font>
      <sz val="11"/>
      <color rgb="FFDCC6E0"/>
      <name val="맑은 고딕"/>
      <family val="3"/>
      <charset val="129"/>
      <scheme val="minor"/>
    </font>
    <font>
      <b/>
      <sz val="14"/>
      <color rgb="FF262626"/>
      <name val="맑은 고딕"/>
      <family val="3"/>
      <charset val="129"/>
      <scheme val="minor"/>
    </font>
    <font>
      <sz val="20"/>
      <color rgb="FF000000"/>
      <name val="맑은 고딕"/>
      <family val="3"/>
      <charset val="129"/>
      <scheme val="minor"/>
    </font>
    <font>
      <sz val="11"/>
      <color theme="1"/>
      <name val="맑은 고딕"/>
      <family val="2"/>
      <scheme val="minor"/>
    </font>
    <font>
      <b/>
      <sz val="11"/>
      <color rgb="FF008000"/>
      <name val="Consolas"/>
      <family val="3"/>
    </font>
    <font>
      <b/>
      <sz val="11"/>
      <color theme="1"/>
      <name val="맑은 고딕"/>
      <family val="2"/>
      <scheme val="minor"/>
    </font>
    <font>
      <b/>
      <sz val="11"/>
      <name val="Consolas"/>
      <family val="3"/>
    </font>
    <font>
      <b/>
      <sz val="11"/>
      <name val="맑은 고딕"/>
      <family val="2"/>
      <scheme val="minor"/>
    </font>
    <font>
      <b/>
      <sz val="11"/>
      <color rgb="FF008000"/>
      <name val="돋움"/>
      <family val="3"/>
      <charset val="129"/>
    </font>
    <font>
      <b/>
      <sz val="16"/>
      <color rgb="FFFF0000"/>
      <name val="Consolas"/>
      <family val="3"/>
    </font>
    <font>
      <b/>
      <sz val="11"/>
      <name val="맑은 고딕"/>
      <family val="3"/>
      <charset val="129"/>
      <scheme val="minor"/>
    </font>
    <font>
      <sz val="11"/>
      <color rgb="FF001080"/>
      <name val="Consolas"/>
      <family val="3"/>
    </font>
    <font>
      <sz val="11"/>
      <color rgb="FFAF00DB"/>
      <name val="Consolas"/>
      <family val="3"/>
    </font>
    <font>
      <sz val="11"/>
      <color rgb="FF795E26"/>
      <name val="Consolas"/>
      <family val="3"/>
    </font>
    <font>
      <b/>
      <sz val="14"/>
      <color theme="1"/>
      <name val="맑은 고딕"/>
      <family val="3"/>
      <charset val="129"/>
      <scheme val="minor"/>
    </font>
    <font>
      <b/>
      <sz val="16"/>
      <color theme="1"/>
      <name val="맑은 고딕"/>
      <family val="3"/>
      <charset val="129"/>
      <scheme val="minor"/>
    </font>
    <font>
      <b/>
      <sz val="12"/>
      <color theme="4" tint="-0.499984740745262"/>
      <name val="맑은 고딕"/>
      <family val="3"/>
      <charset val="129"/>
      <scheme val="minor"/>
    </font>
    <font>
      <sz val="9"/>
      <color theme="1"/>
      <name val="맑은 고딕"/>
      <family val="3"/>
      <charset val="129"/>
      <scheme val="minor"/>
    </font>
    <font>
      <sz val="11"/>
      <color theme="1"/>
      <name val="맑은 고딕"/>
      <family val="2"/>
    </font>
    <font>
      <sz val="9"/>
      <color theme="1"/>
      <name val="Calibri"/>
      <family val="2"/>
    </font>
    <font>
      <sz val="9"/>
      <color rgb="FF000000"/>
      <name val="Calibri"/>
      <family val="2"/>
    </font>
    <font>
      <sz val="9"/>
      <color theme="1"/>
      <name val="Malgun Gothic"/>
      <family val="3"/>
      <charset val="129"/>
    </font>
    <font>
      <b/>
      <sz val="10"/>
      <color theme="4" tint="-0.249977111117893"/>
      <name val="맑은 고딕"/>
      <family val="3"/>
      <charset val="129"/>
      <scheme val="minor"/>
    </font>
    <font>
      <sz val="12"/>
      <name val="맑은 고딕"/>
      <family val="2"/>
      <scheme val="minor"/>
    </font>
    <font>
      <i/>
      <sz val="12"/>
      <color rgb="FF48566B"/>
      <name val="Consolas"/>
      <family val="3"/>
    </font>
    <font>
      <b/>
      <sz val="11"/>
      <color theme="1"/>
      <name val="Malgun Gothic"/>
      <family val="3"/>
      <charset val="129"/>
    </font>
    <font>
      <b/>
      <sz val="11"/>
      <color rgb="FF000000"/>
      <name val="Calibri"/>
      <family val="2"/>
    </font>
    <font>
      <b/>
      <sz val="11"/>
      <color theme="1"/>
      <name val="Calibri"/>
      <family val="2"/>
    </font>
    <font>
      <b/>
      <sz val="11"/>
      <color theme="1"/>
      <name val="돋움"/>
      <family val="3"/>
      <charset val="129"/>
    </font>
    <font>
      <sz val="11"/>
      <color rgb="FF267F99"/>
      <name val="Consolas"/>
      <family val="3"/>
    </font>
    <font>
      <b/>
      <sz val="18"/>
      <color rgb="FFFF0000"/>
      <name val="맑은 고딕"/>
      <family val="3"/>
      <charset val="129"/>
      <scheme val="minor"/>
    </font>
    <font>
      <sz val="16"/>
      <color rgb="FF7F7F7F"/>
      <name val="Wingdings"/>
      <charset val="2"/>
    </font>
    <font>
      <sz val="16"/>
      <color rgb="FF000000"/>
      <name val="맑은 고딕"/>
      <family val="3"/>
      <charset val="129"/>
      <scheme val="minor"/>
    </font>
    <font>
      <sz val="16"/>
      <color rgb="FF7F7F7F"/>
      <name val="Arial"/>
      <family val="2"/>
    </font>
    <font>
      <sz val="11"/>
      <color rgb="FF000000"/>
      <name val="Courier New"/>
      <family val="3"/>
    </font>
    <font>
      <sz val="11"/>
      <color rgb="FF116644"/>
      <name val="Courier New"/>
      <family val="3"/>
    </font>
    <font>
      <sz val="11"/>
      <color rgb="FFA31515"/>
      <name val="Courier New"/>
      <family val="3"/>
    </font>
    <font>
      <b/>
      <sz val="11"/>
      <color theme="8"/>
      <name val="맑은 고딕"/>
      <family val="3"/>
      <charset val="129"/>
      <scheme val="minor"/>
    </font>
    <font>
      <b/>
      <sz val="12"/>
      <color rgb="FFFF0000"/>
      <name val="맑은 고딕"/>
      <family val="3"/>
      <charset val="129"/>
      <scheme val="minor"/>
    </font>
    <font>
      <b/>
      <sz val="18"/>
      <color theme="1"/>
      <name val="맑은 고딕"/>
      <family val="2"/>
      <scheme val="minor"/>
    </font>
    <font>
      <b/>
      <sz val="18"/>
      <color theme="1"/>
      <name val="Calibri"/>
      <family val="2"/>
    </font>
    <font>
      <sz val="12"/>
      <color theme="1"/>
      <name val="Calibri"/>
      <family val="2"/>
    </font>
    <font>
      <b/>
      <sz val="16"/>
      <color rgb="FFFF0000"/>
      <name val="Arial"/>
      <family val="2"/>
    </font>
    <font>
      <sz val="10"/>
      <color theme="1"/>
      <name val="Consolas"/>
      <family val="3"/>
    </font>
    <font>
      <sz val="12"/>
      <color theme="1"/>
      <name val="맑은 고딕"/>
      <family val="3"/>
      <charset val="129"/>
      <scheme val="minor"/>
    </font>
    <font>
      <u/>
      <sz val="11"/>
      <color theme="10"/>
      <name val="맑은 고딕"/>
      <family val="3"/>
      <charset val="129"/>
      <scheme val="minor"/>
    </font>
    <font>
      <sz val="14"/>
      <color rgb="FFFF0000"/>
      <name val="맑은 고딕"/>
      <family val="2"/>
      <scheme val="minor"/>
    </font>
    <font>
      <sz val="14"/>
      <color rgb="FFFF0000"/>
      <name val="Arial Unicode MS"/>
      <family val="2"/>
    </font>
    <font>
      <b/>
      <sz val="11"/>
      <color rgb="FFFF0000"/>
      <name val="Roboto Mono"/>
      <family val="3"/>
      <charset val="129"/>
    </font>
    <font>
      <sz val="11"/>
      <color rgb="FFFFFF00"/>
      <name val="맑은 고딕"/>
      <family val="2"/>
      <scheme val="minor"/>
    </font>
    <font>
      <b/>
      <sz val="18"/>
      <color theme="1"/>
      <name val="맑은 고딕"/>
      <family val="3"/>
      <charset val="129"/>
      <scheme val="minor"/>
    </font>
  </fonts>
  <fills count="49">
    <fill>
      <patternFill patternType="none"/>
    </fill>
    <fill>
      <patternFill patternType="gray125"/>
    </fill>
    <fill>
      <patternFill patternType="solid">
        <fgColor rgb="FFFFFF00"/>
        <bgColor indexed="64"/>
      </patternFill>
    </fill>
    <fill>
      <patternFill patternType="solid">
        <fgColor theme="2"/>
        <bgColor indexed="64"/>
      </patternFill>
    </fill>
    <fill>
      <patternFill patternType="solid">
        <fgColor theme="2" tint="-0.499984740745262"/>
        <bgColor indexed="64"/>
      </patternFill>
    </fill>
    <fill>
      <patternFill patternType="solid">
        <fgColor theme="6" tint="0.59999389629810485"/>
        <bgColor indexed="64"/>
      </patternFill>
    </fill>
    <fill>
      <patternFill patternType="solid">
        <fgColor theme="4" tint="0.39997558519241921"/>
        <bgColor indexed="64"/>
      </patternFill>
    </fill>
    <fill>
      <patternFill patternType="solid">
        <fgColor theme="2" tint="-0.249977111117893"/>
        <bgColor indexed="64"/>
      </patternFill>
    </fill>
    <fill>
      <patternFill patternType="solid">
        <fgColor theme="7" tint="0.59999389629810485"/>
        <bgColor indexed="64"/>
      </patternFill>
    </fill>
    <fill>
      <patternFill patternType="solid">
        <fgColor theme="7" tint="0.39997558519241921"/>
        <bgColor indexed="64"/>
      </patternFill>
    </fill>
    <fill>
      <patternFill patternType="solid">
        <fgColor rgb="FF00B050"/>
        <bgColor indexed="64"/>
      </patternFill>
    </fill>
    <fill>
      <patternFill patternType="solid">
        <fgColor rgb="FFFFFFFF"/>
        <bgColor indexed="64"/>
      </patternFill>
    </fill>
    <fill>
      <patternFill patternType="solid">
        <fgColor rgb="FF193EB0"/>
        <bgColor indexed="64"/>
      </patternFill>
    </fill>
    <fill>
      <patternFill patternType="solid">
        <fgColor rgb="FFF2F2F2"/>
        <bgColor indexed="64"/>
      </patternFill>
    </fill>
    <fill>
      <patternFill patternType="solid">
        <fgColor rgb="FFC6EFCE"/>
      </patternFill>
    </fill>
    <fill>
      <patternFill patternType="solid">
        <fgColor theme="5" tint="0.59999389629810485"/>
        <bgColor indexed="64"/>
      </patternFill>
    </fill>
    <fill>
      <patternFill patternType="solid">
        <fgColor theme="0"/>
        <bgColor indexed="64"/>
      </patternFill>
    </fill>
    <fill>
      <patternFill patternType="solid">
        <fgColor theme="7"/>
        <bgColor indexed="64"/>
      </patternFill>
    </fill>
    <fill>
      <patternFill patternType="solid">
        <fgColor theme="9" tint="0.59999389629810485"/>
        <bgColor indexed="64"/>
      </patternFill>
    </fill>
    <fill>
      <patternFill patternType="solid">
        <fgColor theme="8" tint="0.39997558519241921"/>
        <bgColor indexed="64"/>
      </patternFill>
    </fill>
    <fill>
      <patternFill patternType="solid">
        <fgColor theme="4" tint="0.79998168889431442"/>
        <bgColor indexed="64"/>
      </patternFill>
    </fill>
    <fill>
      <patternFill patternType="solid">
        <fgColor theme="5" tint="0.39997558519241921"/>
        <bgColor indexed="64"/>
      </patternFill>
    </fill>
    <fill>
      <patternFill patternType="solid">
        <fgColor rgb="FF00B0F0"/>
        <bgColor indexed="64"/>
      </patternFill>
    </fill>
    <fill>
      <patternFill patternType="solid">
        <fgColor rgb="FF92D050"/>
        <bgColor indexed="64"/>
      </patternFill>
    </fill>
    <fill>
      <patternFill patternType="solid">
        <fgColor theme="9" tint="0.79998168889431442"/>
        <bgColor indexed="64"/>
      </patternFill>
    </fill>
    <fill>
      <patternFill patternType="solid">
        <fgColor theme="4" tint="0.59999389629810485"/>
        <bgColor indexed="64"/>
      </patternFill>
    </fill>
    <fill>
      <patternFill patternType="solid">
        <fgColor theme="6" tint="0.39997558519241921"/>
        <bgColor indexed="64"/>
      </patternFill>
    </fill>
    <fill>
      <patternFill patternType="solid">
        <fgColor theme="4" tint="-0.249977111117893"/>
        <bgColor indexed="64"/>
      </patternFill>
    </fill>
    <fill>
      <patternFill patternType="solid">
        <fgColor theme="7" tint="0.79998168889431442"/>
        <bgColor indexed="64"/>
      </patternFill>
    </fill>
    <fill>
      <patternFill patternType="solid">
        <fgColor theme="6" tint="0.79998168889431442"/>
        <bgColor indexed="64"/>
      </patternFill>
    </fill>
    <fill>
      <patternFill patternType="solid">
        <fgColor rgb="FFBFBFBF"/>
        <bgColor indexed="64"/>
      </patternFill>
    </fill>
    <fill>
      <patternFill patternType="solid">
        <fgColor theme="5"/>
        <bgColor indexed="64"/>
      </patternFill>
    </fill>
    <fill>
      <patternFill patternType="solid">
        <fgColor theme="0" tint="-4.9989318521683403E-2"/>
        <bgColor indexed="64"/>
      </patternFill>
    </fill>
    <fill>
      <patternFill patternType="solid">
        <fgColor theme="1" tint="0.249977111117893"/>
        <bgColor indexed="64"/>
      </patternFill>
    </fill>
    <fill>
      <patternFill patternType="solid">
        <fgColor theme="3" tint="0.79998168889431442"/>
        <bgColor indexed="64"/>
      </patternFill>
    </fill>
    <fill>
      <patternFill patternType="solid">
        <fgColor theme="4"/>
        <bgColor indexed="64"/>
      </patternFill>
    </fill>
    <fill>
      <patternFill patternType="solid">
        <fgColor rgb="FFFFC000"/>
        <bgColor indexed="64"/>
      </patternFill>
    </fill>
    <fill>
      <patternFill patternType="solid">
        <fgColor theme="3" tint="0.59999389629810485"/>
        <bgColor indexed="64"/>
      </patternFill>
    </fill>
    <fill>
      <patternFill patternType="solid">
        <fgColor theme="2" tint="-9.9978637043366805E-2"/>
        <bgColor indexed="64"/>
      </patternFill>
    </fill>
    <fill>
      <patternFill patternType="solid">
        <fgColor theme="1" tint="0.499984740745262"/>
        <bgColor indexed="64"/>
      </patternFill>
    </fill>
    <fill>
      <patternFill patternType="solid">
        <fgColor rgb="FFC00000"/>
        <bgColor indexed="64"/>
      </patternFill>
    </fill>
    <fill>
      <patternFill patternType="solid">
        <fgColor rgb="FFFF0000"/>
        <bgColor indexed="64"/>
      </patternFill>
    </fill>
    <fill>
      <patternFill patternType="solid">
        <fgColor rgb="FFD8D8D8"/>
        <bgColor indexed="64"/>
      </patternFill>
    </fill>
    <fill>
      <patternFill patternType="solid">
        <fgColor theme="0" tint="-0.34998626667073579"/>
        <bgColor indexed="64"/>
      </patternFill>
    </fill>
    <fill>
      <patternFill patternType="solid">
        <fgColor theme="5" tint="-0.249977111117893"/>
        <bgColor indexed="64"/>
      </patternFill>
    </fill>
    <fill>
      <patternFill patternType="solid">
        <fgColor theme="3" tint="0.39997558519241921"/>
        <bgColor indexed="64"/>
      </patternFill>
    </fill>
    <fill>
      <patternFill patternType="solid">
        <fgColor theme="0" tint="-0.249977111117893"/>
        <bgColor indexed="64"/>
      </patternFill>
    </fill>
    <fill>
      <patternFill patternType="solid">
        <fgColor theme="9" tint="0.39997558519241921"/>
        <bgColor indexed="64"/>
      </patternFill>
    </fill>
    <fill>
      <patternFill patternType="solid">
        <fgColor rgb="FFFCE5CD"/>
        <bgColor indexed="64"/>
      </patternFill>
    </fill>
  </fills>
  <borders count="34">
    <border>
      <left/>
      <right/>
      <top/>
      <bottom/>
      <diagonal/>
    </border>
    <border>
      <left style="medium">
        <color rgb="FFCCCCCC"/>
      </left>
      <right style="medium">
        <color rgb="FFCCCCCC"/>
      </right>
      <top style="medium">
        <color rgb="FFCCCCCC"/>
      </top>
      <bottom style="medium">
        <color rgb="FFCCCCCC"/>
      </bottom>
      <diagonal/>
    </border>
    <border>
      <left/>
      <right/>
      <top/>
      <bottom style="medium">
        <color indexed="64"/>
      </bottom>
      <diagonal/>
    </border>
    <border>
      <left/>
      <right style="medium">
        <color indexed="64"/>
      </right>
      <top/>
      <bottom style="medium">
        <color indexed="64"/>
      </bottom>
      <diagonal/>
    </border>
    <border>
      <left/>
      <right style="medium">
        <color indexed="64"/>
      </right>
      <top/>
      <bottom/>
      <diagonal/>
    </border>
    <border>
      <left/>
      <right style="medium">
        <color indexed="64"/>
      </right>
      <top style="medium">
        <color indexed="64"/>
      </top>
      <bottom/>
      <diagonal/>
    </border>
    <border>
      <left/>
      <right style="medium">
        <color rgb="FF000000"/>
      </right>
      <top style="medium">
        <color rgb="FF000000"/>
      </top>
      <bottom style="medium">
        <color rgb="FF000000"/>
      </bottom>
      <diagonal/>
    </border>
    <border>
      <left style="medium">
        <color rgb="FF000000"/>
      </left>
      <right style="medium">
        <color rgb="FF000000"/>
      </right>
      <top/>
      <bottom style="medium">
        <color rgb="FF000000"/>
      </bottom>
      <diagonal/>
    </border>
    <border>
      <left/>
      <right style="medium">
        <color rgb="FF000000"/>
      </right>
      <top/>
      <bottom style="medium">
        <color rgb="FF000000"/>
      </bottom>
      <diagonal/>
    </border>
    <border>
      <left/>
      <right/>
      <top/>
      <bottom style="medium">
        <color rgb="FF000000"/>
      </bottom>
      <diagonal/>
    </border>
    <border>
      <left/>
      <right/>
      <top style="medium">
        <color rgb="FF000000"/>
      </top>
      <bottom/>
      <diagonal/>
    </border>
    <border>
      <left style="thin">
        <color indexed="64"/>
      </left>
      <right style="thin">
        <color indexed="64"/>
      </right>
      <top style="thin">
        <color indexed="64"/>
      </top>
      <bottom style="thin">
        <color indexed="64"/>
      </bottom>
      <diagonal/>
    </border>
    <border>
      <left style="medium">
        <color rgb="FF000000"/>
      </left>
      <right style="medium">
        <color rgb="FFBFBFBF"/>
      </right>
      <top style="medium">
        <color rgb="FFBFBFBF"/>
      </top>
      <bottom style="medium">
        <color rgb="FFBFBFBF"/>
      </bottom>
      <diagonal/>
    </border>
    <border>
      <left style="medium">
        <color rgb="FFBFBFBF"/>
      </left>
      <right style="medium">
        <color rgb="FFBFBFBF"/>
      </right>
      <top style="medium">
        <color rgb="FFBFBFBF"/>
      </top>
      <bottom style="medium">
        <color rgb="FFBFBFBF"/>
      </bottom>
      <diagonal/>
    </border>
    <border>
      <left style="medium">
        <color rgb="FFBFBFBF"/>
      </left>
      <right style="medium">
        <color rgb="FF000000"/>
      </right>
      <top style="medium">
        <color rgb="FFBFBFBF"/>
      </top>
      <bottom style="medium">
        <color rgb="FFBFBFBF"/>
      </bottom>
      <diagonal/>
    </border>
    <border>
      <left/>
      <right/>
      <top/>
      <bottom style="medium">
        <color rgb="FFBFBFBF"/>
      </bottom>
      <diagonal/>
    </border>
    <border>
      <left style="thin">
        <color indexed="64"/>
      </left>
      <right style="thin">
        <color indexed="64"/>
      </right>
      <top/>
      <bottom/>
      <diagonal/>
    </border>
    <border>
      <left/>
      <right/>
      <top/>
      <bottom style="thin">
        <color indexed="64"/>
      </bottom>
      <diagonal/>
    </border>
    <border>
      <left/>
      <right/>
      <top style="thin">
        <color indexed="64"/>
      </top>
      <bottom/>
      <diagonal/>
    </border>
    <border>
      <left style="medium">
        <color rgb="FFCCCCCC"/>
      </left>
      <right style="medium">
        <color rgb="FFCCCCCC"/>
      </right>
      <top style="medium">
        <color rgb="FFCCCCCC"/>
      </top>
      <bottom style="thin">
        <color indexed="64"/>
      </bottom>
      <diagonal/>
    </border>
    <border>
      <left style="medium">
        <color rgb="FFCCCCCC"/>
      </left>
      <right/>
      <top style="medium">
        <color rgb="FFCCCCCC"/>
      </top>
      <bottom style="medium">
        <color rgb="FFCCCCCC"/>
      </bottom>
      <diagonal/>
    </border>
    <border>
      <left/>
      <right/>
      <top style="medium">
        <color rgb="FFCCCCCC"/>
      </top>
      <bottom style="medium">
        <color rgb="FFCCCCCC"/>
      </bottom>
      <diagonal/>
    </border>
    <border>
      <left/>
      <right style="medium">
        <color rgb="FFCCCCCC"/>
      </right>
      <top style="medium">
        <color rgb="FFCCCCCC"/>
      </top>
      <bottom style="medium">
        <color rgb="FFCCCCCC"/>
      </bottom>
      <diagonal/>
    </border>
    <border>
      <left/>
      <right/>
      <top style="medium">
        <color rgb="FFDDDDDD"/>
      </top>
      <bottom style="medium">
        <color rgb="FF000000"/>
      </bottom>
      <diagonal/>
    </border>
    <border>
      <left/>
      <right style="thin">
        <color indexed="64"/>
      </right>
      <top/>
      <bottom/>
      <diagonal/>
    </border>
    <border>
      <left style="thin">
        <color indexed="64"/>
      </left>
      <right/>
      <top/>
      <bottom/>
      <diagonal/>
    </border>
    <border>
      <left style="thin">
        <color indexed="64"/>
      </left>
      <right/>
      <top/>
      <bottom style="thin">
        <color indexed="64"/>
      </bottom>
      <diagonal/>
    </border>
    <border>
      <left style="medium">
        <color rgb="FFCCCCCC"/>
      </left>
      <right style="thin">
        <color indexed="64"/>
      </right>
      <top style="medium">
        <color rgb="FFCCCCCC"/>
      </top>
      <bottom style="medium">
        <color rgb="FFCCCCCC"/>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style="medium">
        <color indexed="64"/>
      </right>
      <top style="medium">
        <color indexed="64"/>
      </top>
      <bottom style="medium">
        <color indexed="64"/>
      </bottom>
      <diagonal/>
    </border>
    <border>
      <left/>
      <right style="medium">
        <color rgb="FF000000"/>
      </right>
      <top/>
      <bottom/>
      <diagonal/>
    </border>
  </borders>
  <cellStyleXfs count="7">
    <xf numFmtId="0" fontId="0" fillId="0" borderId="0"/>
    <xf numFmtId="0" fontId="9" fillId="0" borderId="0" applyNumberFormat="0" applyFill="0" applyBorder="0" applyAlignment="0" applyProtection="0"/>
    <xf numFmtId="0" fontId="4" fillId="0" borderId="0">
      <alignment vertical="center"/>
    </xf>
    <xf numFmtId="0" fontId="20" fillId="14" borderId="0" applyNumberFormat="0" applyBorder="0" applyAlignment="0" applyProtection="0">
      <alignment vertical="center"/>
    </xf>
    <xf numFmtId="0" fontId="3" fillId="0" borderId="0">
      <alignment vertical="center"/>
    </xf>
    <xf numFmtId="41" fontId="131" fillId="0" borderId="0" applyFont="0" applyFill="0" applyBorder="0" applyAlignment="0" applyProtection="0">
      <alignment vertical="center"/>
    </xf>
    <xf numFmtId="0" fontId="2" fillId="0" borderId="0">
      <alignment vertical="center"/>
    </xf>
  </cellStyleXfs>
  <cellXfs count="569">
    <xf numFmtId="0" fontId="0" fillId="0" borderId="0" xfId="0"/>
    <xf numFmtId="0" fontId="0" fillId="2" borderId="0" xfId="0" applyFill="1"/>
    <xf numFmtId="0" fontId="0" fillId="0" borderId="0" xfId="0" quotePrefix="1"/>
    <xf numFmtId="0" fontId="8" fillId="0" borderId="0" xfId="0" applyFont="1"/>
    <xf numFmtId="0" fontId="9" fillId="0" borderId="0" xfId="1"/>
    <xf numFmtId="0" fontId="10" fillId="2" borderId="1" xfId="0" applyFont="1" applyFill="1" applyBorder="1" applyAlignment="1">
      <alignment vertical="center" wrapText="1"/>
    </xf>
    <xf numFmtId="0" fontId="10" fillId="2" borderId="1" xfId="0" applyFont="1" applyFill="1" applyBorder="1" applyAlignment="1">
      <alignment vertical="center"/>
    </xf>
    <xf numFmtId="0" fontId="10" fillId="0" borderId="1" xfId="0" applyFont="1" applyBorder="1" applyAlignment="1">
      <alignment vertical="center" wrapText="1"/>
    </xf>
    <xf numFmtId="0" fontId="10" fillId="0" borderId="1" xfId="0" applyFont="1" applyBorder="1" applyAlignment="1">
      <alignment vertical="center"/>
    </xf>
    <xf numFmtId="0" fontId="10" fillId="0" borderId="1" xfId="0" applyFont="1" applyBorder="1" applyAlignment="1">
      <alignment horizontal="right" vertical="center" wrapText="1"/>
    </xf>
    <xf numFmtId="0" fontId="0" fillId="0" borderId="2" xfId="0" applyBorder="1"/>
    <xf numFmtId="0" fontId="0" fillId="0" borderId="3" xfId="0" applyBorder="1"/>
    <xf numFmtId="0" fontId="0" fillId="0" borderId="0" xfId="0" applyBorder="1"/>
    <xf numFmtId="0" fontId="0" fillId="0" borderId="4" xfId="0" applyBorder="1"/>
    <xf numFmtId="0" fontId="0" fillId="0" borderId="5" xfId="0" applyBorder="1"/>
    <xf numFmtId="0" fontId="0" fillId="0" borderId="0" xfId="0" applyAlignment="1">
      <alignment horizontal="center"/>
    </xf>
    <xf numFmtId="0" fontId="0" fillId="0" borderId="0" xfId="0" quotePrefix="1" applyAlignment="1">
      <alignment horizontal="center"/>
    </xf>
    <xf numFmtId="0" fontId="10" fillId="0" borderId="7" xfId="0" applyFont="1" applyBorder="1" applyAlignment="1">
      <alignment horizontal="center" vertical="center" wrapText="1"/>
    </xf>
    <xf numFmtId="0" fontId="10" fillId="0" borderId="8" xfId="0" applyFont="1" applyBorder="1" applyAlignment="1">
      <alignment horizontal="right" vertical="center" wrapText="1"/>
    </xf>
    <xf numFmtId="0" fontId="10" fillId="0" borderId="8" xfId="0" applyFont="1" applyBorder="1" applyAlignment="1">
      <alignment vertical="center" wrapText="1"/>
    </xf>
    <xf numFmtId="0" fontId="11" fillId="0" borderId="6" xfId="0" applyFont="1" applyBorder="1" applyAlignment="1">
      <alignment horizontal="right" vertical="center" wrapText="1"/>
    </xf>
    <xf numFmtId="0" fontId="10" fillId="0" borderId="0" xfId="0" applyFont="1" applyBorder="1" applyAlignment="1">
      <alignment horizontal="center" vertical="center" wrapText="1"/>
    </xf>
    <xf numFmtId="0" fontId="10" fillId="0" borderId="0" xfId="0" applyFont="1" applyBorder="1" applyAlignment="1">
      <alignment horizontal="right" vertical="center" wrapText="1"/>
    </xf>
    <xf numFmtId="0" fontId="11" fillId="0" borderId="0" xfId="0" applyFont="1" applyBorder="1" applyAlignment="1">
      <alignment horizontal="center" vertical="center" wrapText="1"/>
    </xf>
    <xf numFmtId="0" fontId="12" fillId="0" borderId="0" xfId="0" applyFont="1" applyBorder="1" applyAlignment="1">
      <alignment horizontal="center" vertical="center" wrapText="1"/>
    </xf>
    <xf numFmtId="0" fontId="13" fillId="0" borderId="0" xfId="0" applyFont="1"/>
    <xf numFmtId="0" fontId="7" fillId="0" borderId="0" xfId="0" applyFont="1" applyAlignment="1">
      <alignment horizontal="center"/>
    </xf>
    <xf numFmtId="0" fontId="0" fillId="0" borderId="0" xfId="0" applyAlignment="1">
      <alignment horizontal="center" vertical="center"/>
    </xf>
    <xf numFmtId="0" fontId="0" fillId="2" borderId="0" xfId="0" applyFill="1" applyAlignment="1">
      <alignment horizontal="center"/>
    </xf>
    <xf numFmtId="0" fontId="0" fillId="3" borderId="11" xfId="0" applyFill="1" applyBorder="1"/>
    <xf numFmtId="0" fontId="0" fillId="4" borderId="11" xfId="0" applyFill="1" applyBorder="1"/>
    <xf numFmtId="0" fontId="0" fillId="0" borderId="0" xfId="0" applyAlignment="1">
      <alignment horizontal="center" vertical="center"/>
    </xf>
    <xf numFmtId="0" fontId="14" fillId="0" borderId="0" xfId="0" applyFont="1"/>
    <xf numFmtId="0" fontId="0" fillId="0" borderId="0" xfId="0" applyAlignment="1">
      <alignment horizontal="center" vertical="center"/>
    </xf>
    <xf numFmtId="0" fontId="0" fillId="6" borderId="0" xfId="0" applyFill="1" applyAlignment="1">
      <alignment horizontal="center"/>
    </xf>
    <xf numFmtId="0" fontId="16" fillId="6" borderId="0" xfId="0" applyFont="1" applyFill="1" applyAlignment="1">
      <alignment horizontal="center"/>
    </xf>
    <xf numFmtId="0" fontId="16" fillId="0" borderId="0" xfId="0" applyFont="1" applyAlignment="1">
      <alignment horizontal="center"/>
    </xf>
    <xf numFmtId="0" fontId="0" fillId="8" borderId="0" xfId="0" applyFill="1" applyAlignment="1">
      <alignment horizontal="center"/>
    </xf>
    <xf numFmtId="0" fontId="16" fillId="10" borderId="0" xfId="0" applyFont="1" applyFill="1" applyAlignment="1">
      <alignment horizontal="center"/>
    </xf>
    <xf numFmtId="0" fontId="0" fillId="10" borderId="0" xfId="0" applyFill="1" applyAlignment="1">
      <alignment horizontal="center"/>
    </xf>
    <xf numFmtId="0" fontId="0" fillId="7" borderId="0" xfId="0" applyFill="1" applyAlignment="1">
      <alignment horizontal="center" vertical="center"/>
    </xf>
    <xf numFmtId="0" fontId="0" fillId="6" borderId="0" xfId="0" applyFill="1" applyAlignment="1">
      <alignment horizontal="center" vertical="center"/>
    </xf>
    <xf numFmtId="0" fontId="7" fillId="0" borderId="0" xfId="0" applyFont="1"/>
    <xf numFmtId="0" fontId="17" fillId="11" borderId="12" xfId="0" applyFont="1" applyFill="1" applyBorder="1" applyAlignment="1">
      <alignment horizontal="center" vertical="center" wrapText="1"/>
    </xf>
    <xf numFmtId="0" fontId="17" fillId="11" borderId="13" xfId="0" applyFont="1" applyFill="1" applyBorder="1" applyAlignment="1">
      <alignment horizontal="center" vertical="center" wrapText="1"/>
    </xf>
    <xf numFmtId="0" fontId="17" fillId="11" borderId="14" xfId="0" applyFont="1" applyFill="1" applyBorder="1" applyAlignment="1">
      <alignment horizontal="center" vertical="center" wrapText="1"/>
    </xf>
    <xf numFmtId="0" fontId="18" fillId="12" borderId="12" xfId="0" applyFont="1" applyFill="1" applyBorder="1" applyAlignment="1">
      <alignment horizontal="center" vertical="center" wrapText="1"/>
    </xf>
    <xf numFmtId="0" fontId="18" fillId="12" borderId="13" xfId="0" applyFont="1" applyFill="1" applyBorder="1" applyAlignment="1">
      <alignment horizontal="center" vertical="center" wrapText="1"/>
    </xf>
    <xf numFmtId="0" fontId="18" fillId="12" borderId="14" xfId="0" applyFont="1" applyFill="1" applyBorder="1" applyAlignment="1">
      <alignment horizontal="center" vertical="center" wrapText="1"/>
    </xf>
    <xf numFmtId="0" fontId="17" fillId="13" borderId="12" xfId="0" applyFont="1" applyFill="1" applyBorder="1" applyAlignment="1">
      <alignment horizontal="center" vertical="center" wrapText="1"/>
    </xf>
    <xf numFmtId="0" fontId="17" fillId="13" borderId="13" xfId="0" applyFont="1" applyFill="1" applyBorder="1" applyAlignment="1">
      <alignment horizontal="center" vertical="center" wrapText="1"/>
    </xf>
    <xf numFmtId="0" fontId="17" fillId="13" borderId="14" xfId="0" applyFont="1" applyFill="1" applyBorder="1" applyAlignment="1">
      <alignment horizontal="center" vertical="center" wrapText="1"/>
    </xf>
    <xf numFmtId="0" fontId="18" fillId="10" borderId="12" xfId="0" applyFont="1" applyFill="1" applyBorder="1" applyAlignment="1">
      <alignment horizontal="center" vertical="center" wrapText="1"/>
    </xf>
    <xf numFmtId="0" fontId="18" fillId="10" borderId="13" xfId="0" applyFont="1" applyFill="1" applyBorder="1" applyAlignment="1">
      <alignment horizontal="center" vertical="center" wrapText="1"/>
    </xf>
    <xf numFmtId="0" fontId="18" fillId="10" borderId="14"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9" borderId="14" xfId="0" applyFont="1" applyFill="1" applyBorder="1" applyAlignment="1">
      <alignment horizontal="center" vertical="center" wrapText="1"/>
    </xf>
    <xf numFmtId="0" fontId="0" fillId="5" borderId="0" xfId="0" applyFill="1"/>
    <xf numFmtId="0" fontId="17" fillId="5" borderId="13" xfId="0" applyFont="1" applyFill="1" applyBorder="1" applyAlignment="1">
      <alignment horizontal="center" vertical="center" wrapText="1"/>
    </xf>
    <xf numFmtId="0" fontId="17" fillId="5" borderId="14" xfId="0" applyFont="1" applyFill="1" applyBorder="1" applyAlignment="1">
      <alignment horizontal="center" vertical="center" wrapText="1"/>
    </xf>
    <xf numFmtId="0" fontId="0" fillId="0" borderId="0" xfId="0" pivotButton="1"/>
    <xf numFmtId="0" fontId="0" fillId="0" borderId="0" xfId="0" applyAlignment="1">
      <alignment horizontal="left"/>
    </xf>
    <xf numFmtId="0" fontId="0" fillId="0" borderId="0" xfId="0" applyNumberFormat="1"/>
    <xf numFmtId="176" fontId="0" fillId="0" borderId="0" xfId="0" applyNumberFormat="1"/>
    <xf numFmtId="0" fontId="4" fillId="0" borderId="11" xfId="2" applyBorder="1" applyAlignment="1">
      <alignment horizontal="center" vertical="center"/>
    </xf>
    <xf numFmtId="0" fontId="4" fillId="0" borderId="11" xfId="2" applyFill="1" applyBorder="1" applyAlignment="1">
      <alignment horizontal="center" vertical="center"/>
    </xf>
    <xf numFmtId="0" fontId="4" fillId="0" borderId="16" xfId="2" applyFill="1" applyBorder="1" applyAlignment="1">
      <alignment horizontal="center" vertical="center"/>
    </xf>
    <xf numFmtId="0" fontId="0" fillId="0" borderId="17" xfId="0" applyBorder="1"/>
    <xf numFmtId="0" fontId="0" fillId="0" borderId="0" xfId="0" applyAlignment="1">
      <alignment horizontal="center" vertical="center"/>
    </xf>
    <xf numFmtId="0" fontId="21" fillId="0" borderId="0" xfId="0" applyFont="1"/>
    <xf numFmtId="0" fontId="22" fillId="0" borderId="0" xfId="0" applyFont="1"/>
    <xf numFmtId="0" fontId="23" fillId="0" borderId="0" xfId="0" applyFont="1"/>
    <xf numFmtId="0" fontId="0" fillId="0" borderId="0" xfId="0" applyAlignment="1">
      <alignment horizontal="center"/>
    </xf>
    <xf numFmtId="0" fontId="24" fillId="0" borderId="0" xfId="0" applyFont="1"/>
    <xf numFmtId="0" fontId="25" fillId="0" borderId="0" xfId="0" applyFont="1"/>
    <xf numFmtId="0" fontId="26" fillId="0" borderId="0" xfId="0" applyFont="1" applyAlignment="1">
      <alignment horizontal="center" vertical="center"/>
    </xf>
    <xf numFmtId="0" fontId="27" fillId="0" borderId="0" xfId="0" applyFont="1" applyAlignment="1">
      <alignment horizontal="center" vertical="center"/>
    </xf>
    <xf numFmtId="0" fontId="27" fillId="0" borderId="0" xfId="0" applyFont="1" applyAlignment="1">
      <alignment horizontal="center" vertical="center" wrapText="1"/>
    </xf>
    <xf numFmtId="0" fontId="28" fillId="15" borderId="0" xfId="0" applyFont="1" applyFill="1" applyAlignment="1">
      <alignment horizontal="center" vertical="center" wrapText="1"/>
    </xf>
    <xf numFmtId="0" fontId="27" fillId="16" borderId="0" xfId="0" applyFont="1" applyFill="1" applyAlignment="1">
      <alignment horizontal="center" vertical="center" wrapText="1"/>
    </xf>
    <xf numFmtId="0" fontId="20" fillId="14" borderId="0" xfId="3" applyAlignment="1"/>
    <xf numFmtId="0" fontId="0" fillId="0" borderId="0" xfId="0" applyAlignment="1">
      <alignment horizontal="center"/>
    </xf>
    <xf numFmtId="0" fontId="0" fillId="0" borderId="17" xfId="0" applyBorder="1" applyAlignment="1">
      <alignment horizontal="center"/>
    </xf>
    <xf numFmtId="0" fontId="0" fillId="0" borderId="0" xfId="0" applyAlignment="1">
      <alignment vertical="center"/>
    </xf>
    <xf numFmtId="0" fontId="0" fillId="0" borderId="0" xfId="0" applyAlignment="1">
      <alignment horizontal="left" vertical="center"/>
    </xf>
    <xf numFmtId="0" fontId="0" fillId="0" borderId="0" xfId="0" applyAlignment="1">
      <alignment horizontal="right"/>
    </xf>
    <xf numFmtId="0" fontId="0" fillId="2" borderId="0" xfId="0" applyFill="1" applyAlignment="1">
      <alignment horizontal="center" vertical="center"/>
    </xf>
    <xf numFmtId="0" fontId="0" fillId="0" borderId="11" xfId="0" applyBorder="1" applyAlignment="1">
      <alignment horizontal="center" vertical="center"/>
    </xf>
    <xf numFmtId="0" fontId="0" fillId="0" borderId="11" xfId="0" applyBorder="1" applyAlignment="1">
      <alignment horizontal="center"/>
    </xf>
    <xf numFmtId="0" fontId="16" fillId="0" borderId="0" xfId="0" applyFont="1"/>
    <xf numFmtId="0" fontId="0" fillId="0" borderId="0" xfId="0" applyFill="1" applyAlignment="1">
      <alignment horizontal="center" vertical="center"/>
    </xf>
    <xf numFmtId="0" fontId="31" fillId="0" borderId="17" xfId="0" applyFont="1" applyBorder="1" applyAlignment="1"/>
    <xf numFmtId="0" fontId="31" fillId="0" borderId="0" xfId="0" applyFont="1" applyBorder="1" applyAlignment="1"/>
    <xf numFmtId="0" fontId="0" fillId="0" borderId="0" xfId="0" applyBorder="1" applyAlignment="1">
      <alignment horizontal="center"/>
    </xf>
    <xf numFmtId="0" fontId="11" fillId="0" borderId="1" xfId="0" applyFont="1" applyBorder="1" applyAlignment="1">
      <alignment horizontal="center" vertical="center" wrapText="1"/>
    </xf>
    <xf numFmtId="0" fontId="10" fillId="0" borderId="1" xfId="0" applyFont="1" applyBorder="1" applyAlignment="1">
      <alignment horizontal="center" vertical="center" wrapText="1"/>
    </xf>
    <xf numFmtId="0" fontId="32" fillId="0" borderId="11" xfId="0" applyFont="1" applyBorder="1" applyAlignment="1">
      <alignment horizontal="center" vertical="center"/>
    </xf>
    <xf numFmtId="0" fontId="33" fillId="0" borderId="11" xfId="0" applyFont="1" applyBorder="1" applyAlignment="1">
      <alignment horizontal="center" vertical="center"/>
    </xf>
    <xf numFmtId="2" fontId="0" fillId="0" borderId="0" xfId="0" applyNumberFormat="1"/>
    <xf numFmtId="0" fontId="34" fillId="2" borderId="0" xfId="0" applyFont="1" applyFill="1" applyAlignment="1">
      <alignment vertical="center"/>
    </xf>
    <xf numFmtId="0" fontId="35" fillId="2" borderId="0" xfId="0" applyFont="1" applyFill="1" applyAlignment="1">
      <alignment vertical="center"/>
    </xf>
    <xf numFmtId="0" fontId="0" fillId="2" borderId="0" xfId="0" applyFill="1" applyAlignment="1">
      <alignment vertical="center"/>
    </xf>
    <xf numFmtId="0" fontId="0" fillId="17" borderId="0" xfId="0" applyFill="1" applyAlignment="1">
      <alignment vertical="center"/>
    </xf>
    <xf numFmtId="0" fontId="0" fillId="0" borderId="17" xfId="0" applyBorder="1" applyAlignment="1">
      <alignment vertical="center"/>
    </xf>
    <xf numFmtId="0" fontId="16" fillId="18" borderId="0" xfId="0" applyFont="1" applyFill="1" applyAlignment="1">
      <alignment horizontal="center" vertical="center"/>
    </xf>
    <xf numFmtId="0" fontId="30" fillId="0" borderId="0" xfId="0" applyFont="1" applyAlignment="1">
      <alignment vertical="center"/>
    </xf>
    <xf numFmtId="0" fontId="0" fillId="19" borderId="0" xfId="0" applyFill="1" applyAlignment="1">
      <alignment vertical="center"/>
    </xf>
    <xf numFmtId="0" fontId="0" fillId="19" borderId="17" xfId="0" applyFill="1" applyBorder="1" applyAlignment="1">
      <alignment vertical="center"/>
    </xf>
    <xf numFmtId="0" fontId="0" fillId="19" borderId="0" xfId="0" applyFill="1" applyAlignment="1">
      <alignment horizontal="center" vertical="center"/>
    </xf>
    <xf numFmtId="0" fontId="0" fillId="20" borderId="11" xfId="0" applyFill="1" applyBorder="1" applyAlignment="1">
      <alignment horizontal="center" vertical="center"/>
    </xf>
    <xf numFmtId="0" fontId="0" fillId="2" borderId="11" xfId="0" applyFill="1" applyBorder="1" applyAlignment="1">
      <alignment horizontal="center" vertical="center"/>
    </xf>
    <xf numFmtId="0" fontId="0" fillId="19" borderId="11" xfId="0" applyFill="1" applyBorder="1" applyAlignment="1">
      <alignment horizontal="center" vertical="center"/>
    </xf>
    <xf numFmtId="0" fontId="0" fillId="2" borderId="11" xfId="0" applyFill="1" applyBorder="1" applyAlignment="1">
      <alignment horizontal="right" vertical="center"/>
    </xf>
    <xf numFmtId="0" fontId="0" fillId="0" borderId="11" xfId="0" applyBorder="1" applyAlignment="1">
      <alignment horizontal="right" vertical="center"/>
    </xf>
    <xf numFmtId="0" fontId="10" fillId="0" borderId="19" xfId="0" applyFont="1" applyBorder="1" applyAlignment="1">
      <alignment horizontal="center" vertical="center" wrapText="1"/>
    </xf>
    <xf numFmtId="0" fontId="0" fillId="21" borderId="0" xfId="0" applyFill="1" applyAlignment="1">
      <alignment horizontal="center"/>
    </xf>
    <xf numFmtId="0" fontId="0" fillId="21" borderId="0" xfId="0" applyFill="1"/>
    <xf numFmtId="0" fontId="0" fillId="0" borderId="0" xfId="0" applyFill="1" applyAlignment="1">
      <alignment horizontal="center"/>
    </xf>
    <xf numFmtId="0" fontId="0" fillId="0" borderId="0" xfId="0" applyFill="1"/>
    <xf numFmtId="0" fontId="0" fillId="22" borderId="0" xfId="0" applyFill="1" applyAlignment="1">
      <alignment horizontal="center"/>
    </xf>
    <xf numFmtId="0" fontId="0" fillId="0" borderId="0" xfId="0" applyAlignment="1">
      <alignment horizontal="center"/>
    </xf>
    <xf numFmtId="0" fontId="37" fillId="0" borderId="0" xfId="0" applyFont="1" applyAlignment="1">
      <alignment vertical="center"/>
    </xf>
    <xf numFmtId="0" fontId="0" fillId="20" borderId="0" xfId="0" applyFill="1"/>
    <xf numFmtId="0" fontId="0" fillId="20" borderId="0" xfId="0" applyFill="1" applyAlignment="1">
      <alignment horizontal="center"/>
    </xf>
    <xf numFmtId="0" fontId="37" fillId="0" borderId="0" xfId="0" applyFont="1" applyAlignment="1">
      <alignment horizontal="center" vertical="center"/>
    </xf>
    <xf numFmtId="0" fontId="39" fillId="0" borderId="0" xfId="0" applyFont="1" applyAlignment="1">
      <alignment vertical="center"/>
    </xf>
    <xf numFmtId="0" fontId="41" fillId="0" borderId="0" xfId="0" applyFont="1"/>
    <xf numFmtId="0" fontId="42" fillId="0" borderId="0" xfId="0" applyFont="1" applyAlignment="1">
      <alignment horizontal="left" vertical="center" indent="1" readingOrder="1"/>
    </xf>
    <xf numFmtId="0" fontId="0" fillId="0" borderId="0" xfId="0" applyAlignment="1">
      <alignment horizontal="left" vertical="center" indent="1"/>
    </xf>
    <xf numFmtId="0" fontId="16" fillId="0" borderId="0" xfId="0" applyFont="1" applyFill="1"/>
    <xf numFmtId="0" fontId="43" fillId="0" borderId="0" xfId="0" applyFont="1"/>
    <xf numFmtId="0" fontId="33" fillId="0" borderId="0" xfId="0" applyFont="1"/>
    <xf numFmtId="0" fontId="0" fillId="2" borderId="11" xfId="0" applyFill="1" applyBorder="1"/>
    <xf numFmtId="0" fontId="0" fillId="23" borderId="11" xfId="0" applyFill="1" applyBorder="1" applyAlignment="1">
      <alignment horizontal="center"/>
    </xf>
    <xf numFmtId="0" fontId="0" fillId="6" borderId="11" xfId="0" applyFill="1" applyBorder="1"/>
    <xf numFmtId="0" fontId="0" fillId="24" borderId="11" xfId="0" applyFill="1" applyBorder="1" applyAlignment="1">
      <alignment horizontal="center"/>
    </xf>
    <xf numFmtId="0" fontId="48" fillId="0" borderId="0" xfId="0" applyFont="1"/>
    <xf numFmtId="0" fontId="41" fillId="2" borderId="0" xfId="0" applyFont="1" applyFill="1" applyAlignment="1">
      <alignment horizontal="center"/>
    </xf>
    <xf numFmtId="0" fontId="0" fillId="2" borderId="11" xfId="0" applyFill="1" applyBorder="1" applyAlignment="1">
      <alignment horizontal="center"/>
    </xf>
    <xf numFmtId="0" fontId="0" fillId="6" borderId="11" xfId="0" applyFill="1" applyBorder="1" applyAlignment="1">
      <alignment horizontal="center"/>
    </xf>
    <xf numFmtId="0" fontId="10" fillId="0" borderId="0" xfId="0" applyFont="1" applyAlignment="1">
      <alignment vertical="center" wrapText="1"/>
    </xf>
    <xf numFmtId="0" fontId="10" fillId="0" borderId="0" xfId="0" applyFont="1" applyAlignment="1">
      <alignment vertical="center"/>
    </xf>
    <xf numFmtId="0" fontId="49" fillId="0" borderId="0" xfId="0" applyFont="1" applyAlignment="1">
      <alignment vertical="center"/>
    </xf>
    <xf numFmtId="0" fontId="13" fillId="2" borderId="0" xfId="0" applyFont="1" applyFill="1"/>
    <xf numFmtId="0" fontId="50" fillId="0" borderId="0" xfId="0" applyFont="1" applyAlignment="1">
      <alignment vertical="center" wrapText="1"/>
    </xf>
    <xf numFmtId="0" fontId="51" fillId="0" borderId="0" xfId="0" applyFont="1" applyAlignment="1">
      <alignment vertical="center" wrapText="1"/>
    </xf>
    <xf numFmtId="9" fontId="0" fillId="0" borderId="0" xfId="0" applyNumberFormat="1" applyAlignment="1">
      <alignment horizontal="center"/>
    </xf>
    <xf numFmtId="9" fontId="0" fillId="0" borderId="0" xfId="0" applyNumberFormat="1"/>
    <xf numFmtId="0" fontId="0" fillId="16" borderId="0" xfId="0" applyFill="1"/>
    <xf numFmtId="0" fontId="16" fillId="0" borderId="0" xfId="0" applyFont="1" applyAlignment="1">
      <alignment horizontal="left" vertical="center" indent="1"/>
    </xf>
    <xf numFmtId="0" fontId="37" fillId="0" borderId="0" xfId="0" applyFont="1"/>
    <xf numFmtId="0" fontId="0" fillId="0" borderId="0" xfId="0" applyFill="1" applyBorder="1"/>
    <xf numFmtId="0" fontId="0" fillId="0" borderId="0" xfId="0" applyFill="1" applyBorder="1" applyAlignment="1">
      <alignment horizontal="center"/>
    </xf>
    <xf numFmtId="0" fontId="0" fillId="9" borderId="11" xfId="0" applyFill="1" applyBorder="1"/>
    <xf numFmtId="0" fontId="0" fillId="9" borderId="11" xfId="0" applyFill="1" applyBorder="1" applyAlignment="1">
      <alignment horizontal="center"/>
    </xf>
    <xf numFmtId="0" fontId="0" fillId="0" borderId="0" xfId="0" applyAlignment="1">
      <alignment horizontal="center" vertical="center"/>
    </xf>
    <xf numFmtId="0" fontId="54" fillId="0" borderId="0" xfId="0" applyFont="1" applyAlignment="1">
      <alignment horizontal="left" vertical="center" indent="1" readingOrder="1"/>
    </xf>
    <xf numFmtId="0" fontId="55" fillId="0" borderId="0" xfId="0" applyFont="1"/>
    <xf numFmtId="0" fontId="0" fillId="0" borderId="0" xfId="0" applyAlignment="1">
      <alignment horizontal="center"/>
    </xf>
    <xf numFmtId="0" fontId="56" fillId="0" borderId="0" xfId="0" applyFont="1"/>
    <xf numFmtId="0" fontId="0" fillId="25" borderId="0" xfId="0" applyFill="1"/>
    <xf numFmtId="0" fontId="0" fillId="25" borderId="11" xfId="0" applyFill="1" applyBorder="1"/>
    <xf numFmtId="0" fontId="57" fillId="0" borderId="0" xfId="0" applyFont="1" applyAlignment="1">
      <alignment vertical="center"/>
    </xf>
    <xf numFmtId="0" fontId="0" fillId="11" borderId="0" xfId="0" applyFill="1" applyAlignment="1">
      <alignment vertical="center"/>
    </xf>
    <xf numFmtId="0" fontId="58" fillId="0" borderId="0" xfId="0" applyFont="1"/>
    <xf numFmtId="0" fontId="0" fillId="26" borderId="0" xfId="0" applyFill="1"/>
    <xf numFmtId="0" fontId="16" fillId="0" borderId="0" xfId="0" applyFont="1" applyAlignment="1">
      <alignment horizontal="right"/>
    </xf>
    <xf numFmtId="0" fontId="16" fillId="2" borderId="0" xfId="0" applyFont="1" applyFill="1"/>
    <xf numFmtId="0" fontId="9" fillId="0" borderId="0" xfId="1" applyAlignment="1">
      <alignment horizontal="left" vertical="center" wrapText="1" indent="1"/>
    </xf>
    <xf numFmtId="0" fontId="59" fillId="0" borderId="0" xfId="0" applyFont="1"/>
    <xf numFmtId="0" fontId="55" fillId="0" borderId="0" xfId="0" applyFont="1" applyAlignment="1">
      <alignment horizontal="left"/>
    </xf>
    <xf numFmtId="0" fontId="16" fillId="0" borderId="0" xfId="0" applyFont="1" applyAlignment="1">
      <alignment horizontal="left"/>
    </xf>
    <xf numFmtId="0" fontId="65" fillId="0" borderId="0" xfId="0" applyFont="1" applyAlignment="1">
      <alignment vertical="center"/>
    </xf>
    <xf numFmtId="0" fontId="66" fillId="0" borderId="0" xfId="0" applyFont="1" applyAlignment="1">
      <alignment horizontal="left" vertical="center" wrapText="1"/>
    </xf>
    <xf numFmtId="0" fontId="67" fillId="2" borderId="0" xfId="0" applyFont="1" applyFill="1"/>
    <xf numFmtId="0" fontId="67" fillId="2" borderId="0" xfId="0" applyFont="1" applyFill="1" applyAlignment="1">
      <alignment horizontal="center"/>
    </xf>
    <xf numFmtId="0" fontId="68" fillId="0" borderId="0" xfId="0" applyFont="1" applyAlignment="1">
      <alignment vertical="center"/>
    </xf>
    <xf numFmtId="0" fontId="0" fillId="0" borderId="0" xfId="0" applyAlignment="1">
      <alignment horizontal="left" vertical="center" indent="2"/>
    </xf>
    <xf numFmtId="0" fontId="11" fillId="0" borderId="0" xfId="0" applyFont="1" applyAlignment="1">
      <alignment horizontal="center" vertical="center" wrapText="1"/>
    </xf>
    <xf numFmtId="0" fontId="0" fillId="0" borderId="0" xfId="0" applyAlignment="1">
      <alignment horizontal="center"/>
    </xf>
    <xf numFmtId="0" fontId="70" fillId="0" borderId="0" xfId="0" applyFont="1" applyAlignment="1">
      <alignment horizontal="center" vertical="center" wrapText="1"/>
    </xf>
    <xf numFmtId="0" fontId="70" fillId="22" borderId="0" xfId="0" applyFont="1" applyFill="1" applyAlignment="1">
      <alignment horizontal="center" vertical="center" wrapText="1"/>
    </xf>
    <xf numFmtId="0" fontId="71" fillId="0" borderId="0" xfId="0" applyFont="1" applyAlignment="1">
      <alignment horizontal="center" vertical="center" wrapText="1"/>
    </xf>
    <xf numFmtId="0" fontId="10" fillId="0" borderId="0" xfId="0" applyFont="1" applyAlignment="1">
      <alignment horizontal="center" vertical="center" wrapText="1"/>
    </xf>
    <xf numFmtId="0" fontId="13" fillId="0" borderId="0" xfId="0" applyFont="1" applyAlignment="1">
      <alignment horizontal="center"/>
    </xf>
    <xf numFmtId="0" fontId="0" fillId="6" borderId="0" xfId="0" applyFill="1"/>
    <xf numFmtId="0" fontId="0" fillId="27" borderId="0" xfId="0" applyFill="1"/>
    <xf numFmtId="0" fontId="0" fillId="22" borderId="0" xfId="0" applyFill="1"/>
    <xf numFmtId="0" fontId="11" fillId="0" borderId="0" xfId="0" applyFont="1" applyAlignment="1">
      <alignment vertical="center" wrapText="1"/>
    </xf>
    <xf numFmtId="0" fontId="10" fillId="2" borderId="0" xfId="0" applyFont="1" applyFill="1" applyAlignment="1">
      <alignment horizontal="center" vertical="center" wrapText="1"/>
    </xf>
    <xf numFmtId="0" fontId="10" fillId="16" borderId="0" xfId="0" applyFont="1" applyFill="1" applyAlignment="1">
      <alignment horizontal="center" vertical="center" wrapText="1"/>
    </xf>
    <xf numFmtId="0" fontId="10" fillId="22" borderId="0" xfId="0" applyFont="1" applyFill="1" applyAlignment="1">
      <alignment horizontal="center" vertical="center" wrapText="1"/>
    </xf>
    <xf numFmtId="0" fontId="11" fillId="22" borderId="0" xfId="0" applyFont="1" applyFill="1" applyAlignment="1">
      <alignment horizontal="center" vertical="center" wrapText="1"/>
    </xf>
    <xf numFmtId="0" fontId="70" fillId="0" borderId="1" xfId="0" applyFont="1" applyBorder="1" applyAlignment="1">
      <alignment horizontal="center" vertical="center" wrapText="1"/>
    </xf>
    <xf numFmtId="0" fontId="72" fillId="0" borderId="1" xfId="0" applyFont="1" applyBorder="1" applyAlignment="1">
      <alignment horizontal="center" vertical="center" wrapText="1"/>
    </xf>
    <xf numFmtId="0" fontId="73" fillId="0" borderId="1" xfId="0" applyFont="1" applyBorder="1" applyAlignment="1">
      <alignment horizontal="center" vertical="center" wrapText="1"/>
    </xf>
    <xf numFmtId="0" fontId="11" fillId="16" borderId="1" xfId="0" applyFont="1" applyFill="1" applyBorder="1" applyAlignment="1">
      <alignment horizontal="center" vertical="center" wrapText="1"/>
    </xf>
    <xf numFmtId="0" fontId="32" fillId="0" borderId="0" xfId="0" applyFont="1"/>
    <xf numFmtId="0" fontId="0" fillId="16" borderId="0" xfId="0" applyFill="1" applyAlignment="1">
      <alignment horizontal="center"/>
    </xf>
    <xf numFmtId="0" fontId="70" fillId="2" borderId="1" xfId="0" applyFont="1" applyFill="1" applyBorder="1" applyAlignment="1">
      <alignment horizontal="center" vertical="center" wrapText="1"/>
    </xf>
    <xf numFmtId="0" fontId="11" fillId="28" borderId="1" xfId="0" applyFont="1" applyFill="1" applyBorder="1" applyAlignment="1">
      <alignment horizontal="center" vertical="center" wrapText="1"/>
    </xf>
    <xf numFmtId="0" fontId="11" fillId="21" borderId="1" xfId="0" applyFont="1" applyFill="1" applyBorder="1" applyAlignment="1">
      <alignment horizontal="center" vertical="center" wrapText="1"/>
    </xf>
    <xf numFmtId="0" fontId="10" fillId="28" borderId="1" xfId="0" applyFont="1" applyFill="1" applyBorder="1" applyAlignment="1">
      <alignment horizontal="center" vertical="center" wrapText="1"/>
    </xf>
    <xf numFmtId="0" fontId="10" fillId="21" borderId="1" xfId="0" applyFont="1" applyFill="1" applyBorder="1" applyAlignment="1">
      <alignment horizontal="center" vertical="center" wrapText="1"/>
    </xf>
    <xf numFmtId="0" fontId="10" fillId="27" borderId="1" xfId="0" applyFont="1" applyFill="1" applyBorder="1" applyAlignment="1">
      <alignment horizontal="center" vertical="center" wrapText="1"/>
    </xf>
    <xf numFmtId="0" fontId="11" fillId="27" borderId="1" xfId="0" applyFont="1" applyFill="1" applyBorder="1" applyAlignment="1">
      <alignment horizontal="center" vertical="center" wrapText="1"/>
    </xf>
    <xf numFmtId="0" fontId="0" fillId="15" borderId="0" xfId="0" applyFill="1"/>
    <xf numFmtId="0" fontId="0" fillId="0" borderId="11" xfId="0" applyBorder="1"/>
    <xf numFmtId="0" fontId="0" fillId="8" borderId="0" xfId="0" applyFill="1"/>
    <xf numFmtId="0" fontId="74" fillId="0" borderId="0" xfId="0" applyFont="1" applyAlignment="1">
      <alignment vertical="center"/>
    </xf>
    <xf numFmtId="0" fontId="26" fillId="0" borderId="0" xfId="0" applyFont="1"/>
    <xf numFmtId="0" fontId="28" fillId="0" borderId="0" xfId="0" applyFont="1"/>
    <xf numFmtId="0" fontId="29" fillId="0" borderId="0" xfId="0" applyFont="1"/>
    <xf numFmtId="0" fontId="26" fillId="0" borderId="0" xfId="0" applyFont="1" applyBorder="1"/>
    <xf numFmtId="0" fontId="76" fillId="0" borderId="0" xfId="0" applyFont="1" applyAlignment="1">
      <alignment horizontal="left" vertical="center" indent="1" readingOrder="1"/>
    </xf>
    <xf numFmtId="177" fontId="0" fillId="0" borderId="0" xfId="0" applyNumberFormat="1" applyFill="1"/>
    <xf numFmtId="0" fontId="75" fillId="0" borderId="0" xfId="0" applyFont="1" applyAlignment="1"/>
    <xf numFmtId="0" fontId="76" fillId="2" borderId="0" xfId="0" applyFont="1" applyFill="1" applyAlignment="1">
      <alignment horizontal="left" vertical="center" indent="1" readingOrder="1"/>
    </xf>
    <xf numFmtId="0" fontId="77" fillId="0" borderId="0" xfId="0" applyFont="1" applyAlignment="1">
      <alignment vertical="center"/>
    </xf>
    <xf numFmtId="0" fontId="69" fillId="0" borderId="0" xfId="0" applyFont="1"/>
    <xf numFmtId="0" fontId="69" fillId="0" borderId="0" xfId="0" applyFont="1" applyAlignment="1">
      <alignment vertical="center"/>
    </xf>
    <xf numFmtId="0" fontId="69" fillId="0" borderId="0" xfId="0" applyFont="1" applyAlignment="1">
      <alignment horizontal="left" vertical="center" indent="2"/>
    </xf>
    <xf numFmtId="0" fontId="0" fillId="0" borderId="0" xfId="0" applyAlignment="1">
      <alignment horizontal="center"/>
    </xf>
    <xf numFmtId="0" fontId="26" fillId="0" borderId="11" xfId="0" applyFont="1" applyBorder="1" applyAlignment="1">
      <alignment horizontal="center" vertical="center"/>
    </xf>
    <xf numFmtId="0" fontId="27" fillId="0" borderId="0" xfId="0" applyFont="1"/>
    <xf numFmtId="0" fontId="79" fillId="0" borderId="11" xfId="0" applyFont="1" applyBorder="1" applyAlignment="1">
      <alignment horizontal="center" vertical="center"/>
    </xf>
    <xf numFmtId="0" fontId="27" fillId="0" borderId="11" xfId="0" applyFont="1" applyBorder="1" applyAlignment="1">
      <alignment horizontal="center" vertical="center"/>
    </xf>
    <xf numFmtId="0" fontId="80" fillId="0" borderId="0" xfId="0" applyFont="1" applyAlignment="1">
      <alignment vertical="center"/>
    </xf>
    <xf numFmtId="0" fontId="0" fillId="10" borderId="11" xfId="0" applyFill="1" applyBorder="1"/>
    <xf numFmtId="0" fontId="0" fillId="18" borderId="11" xfId="0" applyFill="1" applyBorder="1"/>
    <xf numFmtId="0" fontId="82" fillId="0" borderId="0" xfId="0" applyFont="1" applyAlignment="1">
      <alignment horizontal="left" vertical="center" indent="1"/>
    </xf>
    <xf numFmtId="0" fontId="84" fillId="0" borderId="0" xfId="0" applyFont="1"/>
    <xf numFmtId="0" fontId="85" fillId="0" borderId="0" xfId="0" applyFont="1" applyAlignment="1">
      <alignment horizontal="left" vertical="center" indent="1"/>
    </xf>
    <xf numFmtId="0" fontId="81" fillId="0" borderId="0" xfId="0" applyFont="1"/>
    <xf numFmtId="0" fontId="0" fillId="29" borderId="11" xfId="0" applyFill="1" applyBorder="1" applyAlignment="1">
      <alignment horizontal="center" vertical="center"/>
    </xf>
    <xf numFmtId="0" fontId="0" fillId="0" borderId="0" xfId="0" applyAlignment="1">
      <alignment horizontal="center"/>
    </xf>
    <xf numFmtId="0" fontId="86" fillId="11" borderId="23" xfId="0" applyFont="1" applyFill="1" applyBorder="1" applyAlignment="1">
      <alignment vertical="top" wrapText="1"/>
    </xf>
    <xf numFmtId="0" fontId="9" fillId="11" borderId="23" xfId="1" applyFill="1" applyBorder="1" applyAlignment="1">
      <alignment vertical="top" wrapText="1"/>
    </xf>
    <xf numFmtId="0" fontId="87" fillId="0" borderId="1" xfId="0" applyFont="1" applyBorder="1" applyAlignment="1">
      <alignment vertical="center"/>
    </xf>
    <xf numFmtId="0" fontId="10" fillId="30" borderId="1" xfId="0" applyFont="1" applyFill="1" applyBorder="1" applyAlignment="1">
      <alignment vertical="center" wrapText="1"/>
    </xf>
    <xf numFmtId="0" fontId="88" fillId="0" borderId="0" xfId="0" applyFont="1" applyAlignment="1">
      <alignment vertical="center"/>
    </xf>
    <xf numFmtId="0" fontId="0" fillId="31" borderId="0" xfId="0" applyFill="1"/>
    <xf numFmtId="0" fontId="89" fillId="0" borderId="0" xfId="0" applyFont="1" applyFill="1" applyAlignment="1">
      <alignment vertical="center"/>
    </xf>
    <xf numFmtId="0" fontId="0" fillId="19" borderId="0" xfId="0" applyFill="1"/>
    <xf numFmtId="0" fontId="90" fillId="0" borderId="0" xfId="0" applyFont="1"/>
    <xf numFmtId="0" fontId="3" fillId="0" borderId="0" xfId="4">
      <alignment vertical="center"/>
    </xf>
    <xf numFmtId="0" fontId="3" fillId="0" borderId="11" xfId="4" applyBorder="1">
      <alignment vertical="center"/>
    </xf>
    <xf numFmtId="0" fontId="3" fillId="32" borderId="0" xfId="4" applyFill="1">
      <alignment vertical="center"/>
    </xf>
    <xf numFmtId="0" fontId="3" fillId="25" borderId="0" xfId="4" applyFill="1">
      <alignment vertical="center"/>
    </xf>
    <xf numFmtId="0" fontId="3" fillId="2" borderId="0" xfId="4" applyFill="1">
      <alignment vertical="center"/>
    </xf>
    <xf numFmtId="0" fontId="3" fillId="33" borderId="0" xfId="4" applyFill="1">
      <alignment vertical="center"/>
    </xf>
    <xf numFmtId="0" fontId="3" fillId="0" borderId="0" xfId="4" applyAlignment="1">
      <alignment horizontal="center" vertical="center"/>
    </xf>
    <xf numFmtId="0" fontId="92" fillId="0" borderId="0" xfId="0" applyFont="1" applyAlignment="1">
      <alignment horizontal="left" vertical="center"/>
    </xf>
    <xf numFmtId="0" fontId="3" fillId="0" borderId="0" xfId="4" quotePrefix="1" applyAlignment="1">
      <alignment horizontal="center" vertical="center"/>
    </xf>
    <xf numFmtId="0" fontId="93" fillId="0" borderId="0" xfId="0" applyFont="1" applyAlignment="1">
      <alignment horizontal="left" vertical="center"/>
    </xf>
    <xf numFmtId="0" fontId="3" fillId="16" borderId="0" xfId="4" applyFill="1">
      <alignment vertical="center"/>
    </xf>
    <xf numFmtId="0" fontId="3" fillId="6" borderId="0" xfId="4" applyFill="1">
      <alignment vertical="center"/>
    </xf>
    <xf numFmtId="0" fontId="3" fillId="0" borderId="0" xfId="4" applyFill="1" applyAlignment="1">
      <alignment vertical="center"/>
    </xf>
    <xf numFmtId="0" fontId="3" fillId="0" borderId="0" xfId="4" applyFill="1">
      <alignment vertical="center"/>
    </xf>
    <xf numFmtId="0" fontId="3" fillId="0" borderId="0" xfId="4" applyFill="1" applyAlignment="1">
      <alignment horizontal="center" vertical="center"/>
    </xf>
    <xf numFmtId="0" fontId="16" fillId="0" borderId="0" xfId="4" applyFont="1">
      <alignment vertical="center"/>
    </xf>
    <xf numFmtId="0" fontId="94" fillId="2" borderId="0" xfId="0" applyFont="1" applyFill="1"/>
    <xf numFmtId="0" fontId="95" fillId="0" borderId="0" xfId="0" applyFont="1" applyAlignment="1">
      <alignment horizontal="left" vertical="center" indent="1"/>
    </xf>
    <xf numFmtId="0" fontId="37" fillId="2" borderId="0" xfId="0" applyFont="1" applyFill="1"/>
    <xf numFmtId="0" fontId="0" fillId="34" borderId="0" xfId="0" applyFill="1"/>
    <xf numFmtId="0" fontId="89" fillId="0" borderId="0" xfId="0" applyFont="1" applyAlignment="1">
      <alignment vertical="center"/>
    </xf>
    <xf numFmtId="0" fontId="88" fillId="0" borderId="0" xfId="0" applyFont="1"/>
    <xf numFmtId="0" fontId="0" fillId="0" borderId="0" xfId="0" applyFill="1" applyAlignment="1">
      <alignment horizontal="center"/>
    </xf>
    <xf numFmtId="0" fontId="97" fillId="0" borderId="0" xfId="0" applyFont="1" applyAlignment="1">
      <alignment horizontal="left" vertical="center" indent="1" readingOrder="1"/>
    </xf>
    <xf numFmtId="0" fontId="0" fillId="34" borderId="11" xfId="0" applyFill="1" applyBorder="1"/>
    <xf numFmtId="0" fontId="0" fillId="28" borderId="0" xfId="0" applyFill="1"/>
    <xf numFmtId="0" fontId="99" fillId="0" borderId="0" xfId="0" applyFont="1"/>
    <xf numFmtId="0" fontId="100" fillId="0" borderId="0" xfId="0" applyFont="1"/>
    <xf numFmtId="0" fontId="101" fillId="0" borderId="0" xfId="0" applyFont="1"/>
    <xf numFmtId="0" fontId="102" fillId="0" borderId="0" xfId="0" applyFont="1"/>
    <xf numFmtId="0" fontId="26" fillId="0" borderId="0" xfId="0" applyFont="1" applyAlignment="1">
      <alignment horizontal="center"/>
    </xf>
    <xf numFmtId="0" fontId="27" fillId="0" borderId="0" xfId="0" applyFont="1" applyAlignment="1">
      <alignment horizontal="center"/>
    </xf>
    <xf numFmtId="0" fontId="0" fillId="0" borderId="0" xfId="0" applyAlignment="1">
      <alignment horizontal="center"/>
    </xf>
    <xf numFmtId="0" fontId="0" fillId="0" borderId="0" xfId="0" applyAlignment="1">
      <alignment horizontal="center"/>
    </xf>
    <xf numFmtId="0" fontId="10" fillId="0" borderId="0" xfId="0" applyFont="1" applyFill="1" applyBorder="1" applyAlignment="1">
      <alignment horizontal="right" vertical="center" wrapText="1"/>
    </xf>
    <xf numFmtId="0" fontId="0" fillId="35" borderId="0" xfId="0" applyFill="1"/>
    <xf numFmtId="0" fontId="0" fillId="36" borderId="0" xfId="0" applyFill="1"/>
    <xf numFmtId="0" fontId="0" fillId="36" borderId="11" xfId="0" applyFill="1" applyBorder="1"/>
    <xf numFmtId="0" fontId="0" fillId="36" borderId="0" xfId="0" quotePrefix="1" applyFill="1"/>
    <xf numFmtId="0" fontId="55" fillId="0" borderId="0" xfId="0" quotePrefix="1" applyFont="1"/>
    <xf numFmtId="0" fontId="0" fillId="37" borderId="0" xfId="0" applyFill="1" applyAlignment="1">
      <alignment horizontal="center"/>
    </xf>
    <xf numFmtId="0" fontId="17" fillId="0" borderId="0" xfId="0" applyFont="1"/>
    <xf numFmtId="0" fontId="17" fillId="0" borderId="0" xfId="0" applyFont="1" applyAlignment="1">
      <alignment horizontal="left" vertical="center" indent="1"/>
    </xf>
    <xf numFmtId="0" fontId="17" fillId="0" borderId="0" xfId="0" applyFont="1" applyAlignment="1">
      <alignment horizontal="left" vertical="center" indent="2"/>
    </xf>
    <xf numFmtId="0" fontId="103" fillId="0" borderId="0" xfId="0" applyFont="1" applyAlignment="1">
      <alignment vertical="center"/>
    </xf>
    <xf numFmtId="0" fontId="104" fillId="0" borderId="0" xfId="0" applyFont="1"/>
    <xf numFmtId="0" fontId="104" fillId="0" borderId="0" xfId="0" applyFont="1" applyAlignment="1">
      <alignment vertical="center"/>
    </xf>
    <xf numFmtId="0" fontId="105" fillId="0" borderId="0" xfId="0" applyFont="1" applyAlignment="1">
      <alignment vertical="center"/>
    </xf>
    <xf numFmtId="0" fontId="106" fillId="0" borderId="0" xfId="0" applyFont="1" applyAlignment="1">
      <alignment horizontal="left" vertical="center" indent="1"/>
    </xf>
    <xf numFmtId="0" fontId="112" fillId="0" borderId="0" xfId="0" applyFont="1" applyAlignment="1">
      <alignment horizontal="left" vertical="center" readingOrder="1"/>
    </xf>
    <xf numFmtId="0" fontId="0" fillId="0" borderId="0" xfId="0" applyAlignment="1">
      <alignment horizontal="center" vertical="center"/>
    </xf>
    <xf numFmtId="0" fontId="113" fillId="2" borderId="0" xfId="0" applyFont="1" applyFill="1"/>
    <xf numFmtId="0" fontId="0" fillId="0" borderId="0" xfId="0" applyAlignment="1">
      <alignment horizontal="center"/>
    </xf>
    <xf numFmtId="178" fontId="0" fillId="0" borderId="0" xfId="0" applyNumberFormat="1"/>
    <xf numFmtId="0" fontId="0" fillId="0" borderId="0" xfId="0" applyAlignment="1">
      <alignment horizontal="center"/>
    </xf>
    <xf numFmtId="0" fontId="0" fillId="0" borderId="0" xfId="0" applyAlignment="1">
      <alignment horizontal="center"/>
    </xf>
    <xf numFmtId="0" fontId="0" fillId="38" borderId="11" xfId="0" applyFill="1" applyBorder="1" applyAlignment="1">
      <alignment horizontal="center"/>
    </xf>
    <xf numFmtId="0" fontId="114" fillId="0" borderId="0" xfId="0" applyFont="1" applyAlignment="1">
      <alignment horizontal="center"/>
    </xf>
    <xf numFmtId="0" fontId="0" fillId="7" borderId="0" xfId="0" applyFill="1" applyAlignment="1">
      <alignment horizontal="center"/>
    </xf>
    <xf numFmtId="0" fontId="0" fillId="0" borderId="0" xfId="0" applyAlignment="1">
      <alignment horizontal="center"/>
    </xf>
    <xf numFmtId="0" fontId="0" fillId="0" borderId="0" xfId="0" applyFill="1" applyAlignment="1">
      <alignment horizontal="center"/>
    </xf>
    <xf numFmtId="0" fontId="115" fillId="0" borderId="0" xfId="0" applyFont="1" applyAlignment="1">
      <alignment horizontal="center"/>
    </xf>
    <xf numFmtId="0" fontId="0" fillId="39" borderId="0" xfId="0" applyFill="1" applyAlignment="1">
      <alignment horizontal="center"/>
    </xf>
    <xf numFmtId="0" fontId="0" fillId="0" borderId="0" xfId="0" applyAlignment="1">
      <alignment horizontal="left"/>
    </xf>
    <xf numFmtId="0" fontId="0" fillId="0" borderId="0" xfId="0" applyNumberFormat="1" applyAlignment="1">
      <alignment horizontal="center"/>
    </xf>
    <xf numFmtId="0" fontId="0" fillId="0" borderId="0" xfId="0" applyAlignment="1">
      <alignment horizontal="center" vertical="center"/>
    </xf>
    <xf numFmtId="0" fontId="0" fillId="19" borderId="0" xfId="0" applyFill="1" applyAlignment="1">
      <alignment horizontal="center" vertical="center"/>
    </xf>
    <xf numFmtId="0" fontId="116" fillId="0" borderId="0" xfId="0" applyFont="1" applyAlignment="1">
      <alignment horizontal="left" vertical="center" indent="2"/>
    </xf>
    <xf numFmtId="0" fontId="0" fillId="2" borderId="0" xfId="0" applyFill="1" applyAlignment="1">
      <alignment horizontal="left"/>
    </xf>
    <xf numFmtId="0" fontId="0" fillId="0" borderId="0" xfId="0" applyAlignment="1">
      <alignment horizontal="center"/>
    </xf>
    <xf numFmtId="0" fontId="119" fillId="0" borderId="0" xfId="0" applyFont="1" applyAlignment="1">
      <alignment vertical="center"/>
    </xf>
    <xf numFmtId="0" fontId="106" fillId="0" borderId="0" xfId="0" applyFont="1" applyAlignment="1">
      <alignment vertical="center"/>
    </xf>
    <xf numFmtId="0" fontId="104" fillId="0" borderId="0" xfId="0" applyFont="1" applyAlignment="1">
      <alignment horizontal="left" vertical="center" indent="2"/>
    </xf>
    <xf numFmtId="0" fontId="106" fillId="0" borderId="0" xfId="0" applyFont="1" applyAlignment="1">
      <alignment horizontal="left" vertical="center" indent="2"/>
    </xf>
    <xf numFmtId="0" fontId="104" fillId="0" borderId="0" xfId="0" applyFont="1" applyAlignment="1">
      <alignment horizontal="left" vertical="center" indent="1"/>
    </xf>
    <xf numFmtId="0" fontId="0" fillId="0" borderId="18" xfId="0" applyBorder="1"/>
    <xf numFmtId="0" fontId="120" fillId="0" borderId="0" xfId="0" applyFont="1"/>
    <xf numFmtId="0" fontId="0" fillId="0" borderId="25" xfId="0" applyBorder="1"/>
    <xf numFmtId="0" fontId="0" fillId="0" borderId="26" xfId="0" applyBorder="1"/>
    <xf numFmtId="0" fontId="8" fillId="0" borderId="0" xfId="0" applyFont="1" applyAlignment="1">
      <alignment horizontal="left" vertical="center" indent="1"/>
    </xf>
    <xf numFmtId="0" fontId="116" fillId="0" borderId="0" xfId="0" applyFont="1"/>
    <xf numFmtId="0" fontId="0" fillId="0" borderId="0" xfId="0" applyAlignment="1">
      <alignment horizontal="center"/>
    </xf>
    <xf numFmtId="0" fontId="7" fillId="0" borderId="0" xfId="0" quotePrefix="1" applyFont="1"/>
    <xf numFmtId="0" fontId="0" fillId="0" borderId="0" xfId="0" applyAlignment="1">
      <alignment horizontal="center"/>
    </xf>
    <xf numFmtId="0" fontId="0" fillId="0" borderId="0" xfId="0" applyFill="1" applyAlignment="1">
      <alignment horizontal="center"/>
    </xf>
    <xf numFmtId="0" fontId="121" fillId="11" borderId="0" xfId="0" applyFont="1" applyFill="1" applyAlignment="1">
      <alignment vertical="center"/>
    </xf>
    <xf numFmtId="0" fontId="10" fillId="11" borderId="0" xfId="0" applyFont="1" applyFill="1" applyAlignment="1">
      <alignment vertical="center" wrapText="1"/>
    </xf>
    <xf numFmtId="0" fontId="122" fillId="11" borderId="0" xfId="0" applyFont="1" applyFill="1" applyAlignment="1">
      <alignment vertical="center" wrapText="1"/>
    </xf>
    <xf numFmtId="0" fontId="121" fillId="11" borderId="0" xfId="0" applyFont="1" applyFill="1" applyAlignment="1">
      <alignment vertical="center" wrapText="1"/>
    </xf>
    <xf numFmtId="0" fontId="123" fillId="11" borderId="0" xfId="0" applyFont="1" applyFill="1" applyAlignment="1">
      <alignment vertical="center"/>
    </xf>
    <xf numFmtId="0" fontId="122" fillId="11" borderId="0" xfId="0" applyFont="1" applyFill="1" applyAlignment="1">
      <alignment vertical="center"/>
    </xf>
    <xf numFmtId="0" fontId="124" fillId="11" borderId="0" xfId="0" applyFont="1" applyFill="1" applyAlignment="1">
      <alignment vertical="center" wrapText="1"/>
    </xf>
    <xf numFmtId="0" fontId="125" fillId="11" borderId="0" xfId="0" applyFont="1" applyFill="1" applyAlignment="1">
      <alignment vertical="center"/>
    </xf>
    <xf numFmtId="0" fontId="121" fillId="2" borderId="0" xfId="0" applyFont="1" applyFill="1" applyAlignment="1">
      <alignment vertical="center"/>
    </xf>
    <xf numFmtId="0" fontId="0" fillId="0" borderId="0" xfId="0" applyAlignment="1">
      <alignment horizontal="center"/>
    </xf>
    <xf numFmtId="0" fontId="0" fillId="0" borderId="0" xfId="0" applyAlignment="1">
      <alignment horizontal="center"/>
    </xf>
    <xf numFmtId="0" fontId="0" fillId="0" borderId="0" xfId="0" applyFill="1" applyAlignment="1">
      <alignment horizontal="center"/>
    </xf>
    <xf numFmtId="0" fontId="126" fillId="6" borderId="0" xfId="0" applyFont="1" applyFill="1" applyAlignment="1">
      <alignment vertical="center"/>
    </xf>
    <xf numFmtId="0" fontId="0" fillId="0" borderId="0" xfId="0" applyAlignment="1">
      <alignment horizontal="center"/>
    </xf>
    <xf numFmtId="0" fontId="82" fillId="2" borderId="0" xfId="0" applyFont="1" applyFill="1" applyAlignment="1">
      <alignment horizontal="left" vertical="center" indent="1"/>
    </xf>
    <xf numFmtId="0" fontId="0" fillId="18" borderId="0" xfId="0" applyFill="1"/>
    <xf numFmtId="0" fontId="0" fillId="40" borderId="0" xfId="0" applyFill="1"/>
    <xf numFmtId="0" fontId="0" fillId="10" borderId="0" xfId="0" applyFill="1"/>
    <xf numFmtId="0" fontId="128" fillId="0" borderId="0" xfId="0" applyFont="1"/>
    <xf numFmtId="0" fontId="129" fillId="0" borderId="0" xfId="0" applyFont="1"/>
    <xf numFmtId="0" fontId="130" fillId="0" borderId="0" xfId="0" applyFont="1"/>
    <xf numFmtId="0" fontId="129" fillId="19" borderId="0" xfId="0" applyFont="1" applyFill="1"/>
    <xf numFmtId="0" fontId="99" fillId="19" borderId="0" xfId="0" applyFont="1" applyFill="1"/>
    <xf numFmtId="0" fontId="0" fillId="0" borderId="0" xfId="0" applyAlignment="1">
      <alignment horizontal="center"/>
    </xf>
    <xf numFmtId="0" fontId="11" fillId="0" borderId="0" xfId="0" applyFont="1" applyAlignment="1">
      <alignment horizontal="center" vertical="center" wrapText="1"/>
    </xf>
    <xf numFmtId="0" fontId="134" fillId="0" borderId="0" xfId="0" applyFont="1" applyAlignment="1">
      <alignment vertical="center"/>
    </xf>
    <xf numFmtId="0" fontId="53" fillId="0" borderId="0" xfId="0" applyFont="1" applyAlignment="1">
      <alignment vertical="center"/>
    </xf>
    <xf numFmtId="0" fontId="135" fillId="25" borderId="0" xfId="0" applyFont="1" applyFill="1"/>
    <xf numFmtId="0" fontId="80" fillId="25" borderId="0" xfId="0" applyFont="1" applyFill="1" applyAlignment="1">
      <alignment vertical="center"/>
    </xf>
    <xf numFmtId="0" fontId="134" fillId="25" borderId="0" xfId="0" applyFont="1" applyFill="1" applyAlignment="1">
      <alignment vertical="center"/>
    </xf>
    <xf numFmtId="0" fontId="132" fillId="25" borderId="0" xfId="0" applyFont="1" applyFill="1" applyAlignment="1">
      <alignment vertical="center"/>
    </xf>
    <xf numFmtId="0" fontId="133" fillId="25" borderId="0" xfId="0" applyFont="1" applyFill="1"/>
    <xf numFmtId="0" fontId="0" fillId="0" borderId="0" xfId="0" applyFill="1" applyAlignment="1">
      <alignment vertical="center"/>
    </xf>
    <xf numFmtId="1" fontId="0" fillId="0" borderId="0" xfId="0" applyNumberFormat="1" applyFill="1" applyAlignment="1">
      <alignment vertical="center"/>
    </xf>
    <xf numFmtId="0" fontId="0" fillId="7" borderId="0" xfId="0" applyFill="1" applyAlignment="1">
      <alignment vertical="center"/>
    </xf>
    <xf numFmtId="1" fontId="0" fillId="0" borderId="0" xfId="0" applyNumberFormat="1" applyAlignment="1">
      <alignment vertical="center"/>
    </xf>
    <xf numFmtId="1" fontId="0" fillId="0" borderId="0" xfId="0" applyNumberFormat="1"/>
    <xf numFmtId="1" fontId="41" fillId="0" borderId="0" xfId="0" applyNumberFormat="1" applyFont="1"/>
    <xf numFmtId="1" fontId="41" fillId="0" borderId="0" xfId="0" applyNumberFormat="1" applyFont="1" applyAlignment="1">
      <alignment vertical="center"/>
    </xf>
    <xf numFmtId="1" fontId="41" fillId="0" borderId="0" xfId="0" applyNumberFormat="1" applyFont="1" applyFill="1" applyAlignment="1">
      <alignment vertical="center"/>
    </xf>
    <xf numFmtId="179" fontId="0" fillId="0" borderId="0" xfId="0" applyNumberFormat="1"/>
    <xf numFmtId="0" fontId="2" fillId="0" borderId="0" xfId="6">
      <alignment vertical="center"/>
    </xf>
    <xf numFmtId="14" fontId="2" fillId="0" borderId="0" xfId="6" applyNumberFormat="1">
      <alignment vertical="center"/>
    </xf>
    <xf numFmtId="0" fontId="2" fillId="7" borderId="0" xfId="6" applyFill="1">
      <alignment vertical="center"/>
    </xf>
    <xf numFmtId="0" fontId="137" fillId="0" borderId="0" xfId="0" applyFont="1" applyAlignment="1">
      <alignment vertical="center"/>
    </xf>
    <xf numFmtId="0" fontId="16" fillId="25" borderId="0" xfId="0" applyFont="1" applyFill="1"/>
    <xf numFmtId="0" fontId="138" fillId="0" borderId="0" xfId="0" applyFont="1"/>
    <xf numFmtId="0" fontId="114" fillId="0" borderId="0" xfId="0" applyFont="1" applyAlignment="1">
      <alignment vertical="center"/>
    </xf>
    <xf numFmtId="0" fontId="140" fillId="0" borderId="0" xfId="0" applyFont="1" applyAlignment="1">
      <alignment vertical="center"/>
    </xf>
    <xf numFmtId="14" fontId="0" fillId="0" borderId="0" xfId="0" applyNumberFormat="1" applyAlignment="1">
      <alignment vertical="center"/>
    </xf>
    <xf numFmtId="0" fontId="141" fillId="0" borderId="0" xfId="0" applyFont="1" applyAlignment="1">
      <alignment vertical="center"/>
    </xf>
    <xf numFmtId="179" fontId="142" fillId="0" borderId="0" xfId="0" applyNumberFormat="1" applyFont="1"/>
    <xf numFmtId="0" fontId="41" fillId="0" borderId="0" xfId="0" applyFont="1" applyAlignment="1">
      <alignment horizontal="left" vertical="center" indent="2"/>
    </xf>
    <xf numFmtId="0" fontId="0" fillId="25" borderId="0" xfId="0" applyFill="1" applyAlignment="1">
      <alignment horizontal="left" vertical="center" indent="1"/>
    </xf>
    <xf numFmtId="41" fontId="0" fillId="0" borderId="0" xfId="5" applyFont="1" applyAlignment="1">
      <alignment vertical="center"/>
    </xf>
    <xf numFmtId="41" fontId="0" fillId="0" borderId="0" xfId="0" applyNumberFormat="1"/>
    <xf numFmtId="0" fontId="0" fillId="0" borderId="0" xfId="0" applyAlignment="1">
      <alignment horizontal="center"/>
    </xf>
    <xf numFmtId="0" fontId="142" fillId="2" borderId="0" xfId="0" applyFont="1" applyFill="1"/>
    <xf numFmtId="0" fontId="144" fillId="0" borderId="0" xfId="0" applyFont="1"/>
    <xf numFmtId="0" fontId="145" fillId="0" borderId="0" xfId="0" applyFont="1"/>
    <xf numFmtId="180" fontId="0" fillId="0" borderId="0" xfId="5" applyNumberFormat="1" applyFont="1" applyAlignment="1">
      <alignment vertical="center"/>
    </xf>
    <xf numFmtId="180" fontId="0" fillId="0" borderId="0" xfId="0" applyNumberFormat="1"/>
    <xf numFmtId="0" fontId="9" fillId="2" borderId="0" xfId="1" applyFill="1"/>
    <xf numFmtId="0" fontId="41" fillId="25" borderId="0" xfId="0" applyFont="1" applyFill="1"/>
    <xf numFmtId="0" fontId="11" fillId="0" borderId="0" xfId="0" applyFont="1" applyAlignment="1">
      <alignment horizontal="right" vertical="center" wrapText="1"/>
    </xf>
    <xf numFmtId="0" fontId="10" fillId="0" borderId="0" xfId="0" applyFont="1" applyAlignment="1">
      <alignment horizontal="center" vertical="center"/>
    </xf>
    <xf numFmtId="181" fontId="11" fillId="0" borderId="0" xfId="0" applyNumberFormat="1" applyFont="1" applyAlignment="1">
      <alignment horizontal="center" vertical="center" wrapText="1"/>
    </xf>
    <xf numFmtId="181" fontId="0" fillId="0" borderId="0" xfId="0" applyNumberFormat="1" applyAlignment="1">
      <alignment horizontal="center"/>
    </xf>
    <xf numFmtId="182" fontId="0" fillId="0" borderId="0" xfId="0" applyNumberFormat="1"/>
    <xf numFmtId="183" fontId="0" fillId="0" borderId="0" xfId="5" applyNumberFormat="1" applyFont="1" applyAlignment="1"/>
    <xf numFmtId="0" fontId="8" fillId="16" borderId="0" xfId="0" applyFont="1" applyFill="1" applyAlignment="1">
      <alignment horizontal="left" vertical="center" indent="1"/>
    </xf>
    <xf numFmtId="0" fontId="8" fillId="16" borderId="0" xfId="0" applyFont="1" applyFill="1"/>
    <xf numFmtId="0" fontId="0" fillId="16" borderId="0" xfId="0" applyFill="1" applyAlignment="1">
      <alignment horizontal="left" vertical="center" indent="1"/>
    </xf>
    <xf numFmtId="0" fontId="144" fillId="16" borderId="0" xfId="0" applyFont="1" applyFill="1"/>
    <xf numFmtId="0" fontId="147" fillId="0" borderId="0" xfId="0" applyFont="1" applyAlignment="1">
      <alignment horizontal="center" vertical="center" wrapText="1"/>
    </xf>
    <xf numFmtId="0" fontId="148" fillId="0" borderId="0" xfId="0" applyFont="1" applyAlignment="1">
      <alignment horizontal="center"/>
    </xf>
    <xf numFmtId="0" fontId="48" fillId="0" borderId="0" xfId="0" applyFont="1" applyAlignment="1">
      <alignment horizontal="center"/>
    </xf>
    <xf numFmtId="0" fontId="149" fillId="0" borderId="0" xfId="0" applyFont="1" applyAlignment="1">
      <alignment horizontal="center" vertical="center" wrapText="1"/>
    </xf>
    <xf numFmtId="0" fontId="48" fillId="0" borderId="0" xfId="0" applyFont="1" applyAlignment="1">
      <alignment horizontal="center" wrapText="1"/>
    </xf>
    <xf numFmtId="182" fontId="149" fillId="0" borderId="0" xfId="5" applyNumberFormat="1" applyFont="1" applyAlignment="1">
      <alignment horizontal="center" vertical="center" wrapText="1"/>
    </xf>
    <xf numFmtId="182" fontId="48" fillId="0" borderId="0" xfId="5" applyNumberFormat="1" applyFont="1" applyAlignment="1"/>
    <xf numFmtId="182" fontId="0" fillId="0" borderId="0" xfId="5" applyNumberFormat="1" applyFont="1" applyAlignment="1"/>
    <xf numFmtId="182" fontId="0" fillId="0" borderId="0" xfId="0" applyNumberFormat="1" applyAlignment="1">
      <alignment horizontal="center"/>
    </xf>
    <xf numFmtId="182" fontId="151" fillId="41" borderId="0" xfId="5" applyNumberFormat="1" applyFont="1" applyFill="1" applyAlignment="1"/>
    <xf numFmtId="182" fontId="150" fillId="25" borderId="0" xfId="5" applyNumberFormat="1" applyFont="1" applyFill="1" applyAlignment="1"/>
    <xf numFmtId="0" fontId="143" fillId="0" borderId="0" xfId="0" applyFont="1" applyAlignment="1">
      <alignment horizontal="center"/>
    </xf>
    <xf numFmtId="0" fontId="117" fillId="0" borderId="0" xfId="0" applyFont="1" applyAlignment="1">
      <alignment vertical="center"/>
    </xf>
    <xf numFmtId="0" fontId="16" fillId="0" borderId="0" xfId="0" applyFont="1" applyAlignment="1">
      <alignment horizontal="left" vertical="center" indent="2"/>
    </xf>
    <xf numFmtId="0" fontId="0" fillId="0" borderId="0" xfId="0" applyAlignment="1">
      <alignment horizontal="center"/>
    </xf>
    <xf numFmtId="0" fontId="0" fillId="0" borderId="0" xfId="0" applyBorder="1" applyAlignment="1">
      <alignment horizontal="center"/>
    </xf>
    <xf numFmtId="0" fontId="75" fillId="0" borderId="0" xfId="0" applyFont="1" applyAlignment="1">
      <alignment horizontal="center"/>
    </xf>
    <xf numFmtId="0" fontId="0" fillId="0" borderId="0" xfId="0" applyFill="1" applyAlignment="1">
      <alignment horizontal="center"/>
    </xf>
    <xf numFmtId="0" fontId="61" fillId="0" borderId="0" xfId="0" applyFont="1"/>
    <xf numFmtId="0" fontId="10" fillId="42" borderId="0" xfId="0" applyFont="1" applyFill="1" applyAlignment="1">
      <alignment vertical="center" wrapText="1"/>
    </xf>
    <xf numFmtId="0" fontId="11" fillId="42" borderId="0" xfId="0" applyFont="1" applyFill="1" applyAlignment="1">
      <alignment vertical="center"/>
    </xf>
    <xf numFmtId="0" fontId="87" fillId="0" borderId="0" xfId="0" applyFont="1" applyAlignment="1">
      <alignment vertical="center"/>
    </xf>
    <xf numFmtId="0" fontId="0" fillId="43" borderId="0" xfId="0" applyFill="1"/>
    <xf numFmtId="0" fontId="11" fillId="42" borderId="0" xfId="0" applyFont="1" applyFill="1" applyAlignment="1">
      <alignment vertical="center" wrapText="1"/>
    </xf>
    <xf numFmtId="0" fontId="153" fillId="13" borderId="0" xfId="0" applyFont="1" applyFill="1" applyAlignment="1">
      <alignment vertical="center"/>
    </xf>
    <xf numFmtId="0" fontId="10" fillId="13" borderId="0" xfId="0" applyFont="1" applyFill="1" applyAlignment="1">
      <alignment vertical="center" wrapText="1"/>
    </xf>
    <xf numFmtId="0" fontId="154" fillId="0" borderId="0" xfId="0" applyFont="1"/>
    <xf numFmtId="0" fontId="10" fillId="2" borderId="0" xfId="0" applyFont="1" applyFill="1" applyAlignment="1">
      <alignment vertical="center" wrapText="1"/>
    </xf>
    <xf numFmtId="0" fontId="155" fillId="2" borderId="0" xfId="0" applyFont="1" applyFill="1" applyAlignment="1">
      <alignment vertical="center"/>
    </xf>
    <xf numFmtId="0" fontId="155" fillId="0" borderId="0" xfId="0" applyFont="1" applyAlignment="1">
      <alignment vertical="center" wrapText="1"/>
    </xf>
    <xf numFmtId="0" fontId="114" fillId="0" borderId="0" xfId="0" applyFont="1"/>
    <xf numFmtId="0" fontId="157" fillId="0" borderId="0" xfId="0" applyFont="1" applyAlignment="1">
      <alignment vertical="center"/>
    </xf>
    <xf numFmtId="0" fontId="8" fillId="2" borderId="0" xfId="0" applyFont="1" applyFill="1"/>
    <xf numFmtId="0" fontId="158" fillId="0" borderId="0" xfId="0" applyFont="1" applyAlignment="1">
      <alignment horizontal="left" vertical="center" indent="1"/>
    </xf>
    <xf numFmtId="0" fontId="159" fillId="0" borderId="0" xfId="0" applyFont="1" applyAlignment="1">
      <alignment horizontal="left" vertical="center" indent="3" readingOrder="1"/>
    </xf>
    <xf numFmtId="0" fontId="161" fillId="0" borderId="0" xfId="0" applyFont="1" applyAlignment="1">
      <alignment horizontal="left" vertical="center" indent="4" readingOrder="1"/>
    </xf>
    <xf numFmtId="0" fontId="143" fillId="2" borderId="0" xfId="0" applyFont="1" applyFill="1"/>
    <xf numFmtId="0" fontId="88" fillId="2" borderId="0" xfId="0" applyFont="1" applyFill="1"/>
    <xf numFmtId="0" fontId="158" fillId="43" borderId="0" xfId="0" applyFont="1" applyFill="1"/>
    <xf numFmtId="0" fontId="0" fillId="0" borderId="0" xfId="0" applyAlignment="1">
      <alignment horizontal="center"/>
    </xf>
    <xf numFmtId="0" fontId="162" fillId="0" borderId="0" xfId="0" applyFont="1" applyAlignment="1">
      <alignment vertical="center"/>
    </xf>
    <xf numFmtId="0" fontId="0" fillId="38" borderId="0" xfId="0" applyFill="1"/>
    <xf numFmtId="0" fontId="0" fillId="7" borderId="0" xfId="0" applyFill="1"/>
    <xf numFmtId="0" fontId="165" fillId="0" borderId="0" xfId="0" applyFont="1"/>
    <xf numFmtId="0" fontId="166" fillId="0" borderId="0" xfId="0" applyFont="1"/>
    <xf numFmtId="0" fontId="156" fillId="0" borderId="0" xfId="0" applyFont="1" applyAlignment="1">
      <alignment vertical="center" wrapText="1"/>
    </xf>
    <xf numFmtId="0" fontId="139" fillId="0" borderId="0" xfId="0" applyFont="1" applyAlignment="1">
      <alignment vertical="center"/>
    </xf>
    <xf numFmtId="0" fontId="16" fillId="6" borderId="0" xfId="0" applyFont="1" applyFill="1" applyAlignment="1">
      <alignment horizontal="center" vertical="center"/>
    </xf>
    <xf numFmtId="0" fontId="167" fillId="2" borderId="0" xfId="0" applyFont="1" applyFill="1"/>
    <xf numFmtId="0" fontId="168" fillId="2" borderId="0" xfId="0" applyFont="1" applyFill="1"/>
    <xf numFmtId="0" fontId="169" fillId="0" borderId="0" xfId="0" applyFont="1" applyAlignment="1">
      <alignment vertical="center"/>
    </xf>
    <xf numFmtId="0" fontId="169" fillId="0" borderId="0" xfId="0" applyFont="1" applyAlignment="1">
      <alignment vertical="center" wrapText="1"/>
    </xf>
    <xf numFmtId="0" fontId="169" fillId="0" borderId="0" xfId="0" applyFont="1" applyAlignment="1">
      <alignment wrapText="1"/>
    </xf>
    <xf numFmtId="0" fontId="169" fillId="0" borderId="0" xfId="0" applyFont="1" applyFill="1" applyAlignment="1">
      <alignment vertical="center"/>
    </xf>
    <xf numFmtId="0" fontId="135" fillId="0" borderId="0" xfId="0" applyFont="1"/>
    <xf numFmtId="0" fontId="87" fillId="0" borderId="1" xfId="0" applyFont="1" applyFill="1" applyBorder="1" applyAlignment="1">
      <alignment vertical="center"/>
    </xf>
    <xf numFmtId="0" fontId="10" fillId="0" borderId="27" xfId="0" applyFont="1" applyFill="1" applyBorder="1" applyAlignment="1">
      <alignment vertical="center" wrapText="1"/>
    </xf>
    <xf numFmtId="0" fontId="10" fillId="0" borderId="1" xfId="0" applyFont="1" applyFill="1" applyBorder="1" applyAlignment="1">
      <alignment vertical="center" wrapText="1"/>
    </xf>
    <xf numFmtId="0" fontId="10" fillId="0" borderId="1" xfId="0" applyFont="1" applyFill="1" applyBorder="1" applyAlignment="1">
      <alignment vertical="center"/>
    </xf>
    <xf numFmtId="0" fontId="170" fillId="0" borderId="0" xfId="0" applyFont="1" applyAlignment="1">
      <alignment horizontal="left" vertical="center" indent="1"/>
    </xf>
    <xf numFmtId="0" fontId="171" fillId="0" borderId="0" xfId="0" applyFont="1"/>
    <xf numFmtId="0" fontId="113" fillId="0" borderId="0" xfId="0" applyFont="1"/>
    <xf numFmtId="0" fontId="172" fillId="0" borderId="0" xfId="0" applyFont="1"/>
    <xf numFmtId="0" fontId="174" fillId="0" borderId="0" xfId="0" applyFont="1"/>
    <xf numFmtId="17" fontId="0" fillId="0" borderId="0" xfId="0" applyNumberFormat="1"/>
    <xf numFmtId="0" fontId="0" fillId="44" borderId="0" xfId="0" applyFill="1"/>
    <xf numFmtId="0" fontId="0" fillId="45" borderId="0" xfId="0" applyFill="1"/>
    <xf numFmtId="0" fontId="0" fillId="37" borderId="0" xfId="0" applyFill="1"/>
    <xf numFmtId="0" fontId="176" fillId="0" borderId="0" xfId="0" applyFont="1" applyAlignment="1">
      <alignment horizontal="center" vertical="center" readingOrder="1"/>
    </xf>
    <xf numFmtId="0" fontId="1" fillId="16" borderId="0" xfId="4" applyFont="1" applyFill="1" applyAlignment="1">
      <alignment vertical="center"/>
    </xf>
    <xf numFmtId="0" fontId="3" fillId="16" borderId="0" xfId="4" applyFill="1" applyAlignment="1">
      <alignment vertical="center"/>
    </xf>
    <xf numFmtId="0" fontId="0" fillId="0" borderId="0" xfId="0" applyAlignment="1">
      <alignment horizontal="center"/>
    </xf>
    <xf numFmtId="0" fontId="0" fillId="0" borderId="0" xfId="0" applyAlignment="1">
      <alignment horizontal="center" vertical="center"/>
    </xf>
    <xf numFmtId="0" fontId="0" fillId="38" borderId="11" xfId="0" applyFill="1" applyBorder="1"/>
    <xf numFmtId="0" fontId="0" fillId="0" borderId="29" xfId="0" applyBorder="1"/>
    <xf numFmtId="0" fontId="0" fillId="46" borderId="0" xfId="0" applyFill="1"/>
    <xf numFmtId="0" fontId="177" fillId="0" borderId="32" xfId="0" applyFont="1" applyBorder="1" applyAlignment="1">
      <alignment horizontal="center"/>
    </xf>
    <xf numFmtId="0" fontId="0" fillId="16" borderId="32" xfId="0" applyFill="1" applyBorder="1" applyAlignment="1">
      <alignment horizontal="center"/>
    </xf>
    <xf numFmtId="0" fontId="32" fillId="31" borderId="32" xfId="0" applyFont="1" applyFill="1" applyBorder="1" applyAlignment="1">
      <alignment horizontal="center"/>
    </xf>
    <xf numFmtId="0" fontId="32" fillId="0" borderId="32" xfId="0" applyFont="1" applyBorder="1" applyAlignment="1">
      <alignment horizontal="center"/>
    </xf>
    <xf numFmtId="0" fontId="0" fillId="31" borderId="32" xfId="0" applyFill="1" applyBorder="1" applyAlignment="1">
      <alignment horizontal="center"/>
    </xf>
    <xf numFmtId="0" fontId="32" fillId="25" borderId="32" xfId="0" applyFont="1" applyFill="1" applyBorder="1" applyAlignment="1">
      <alignment horizontal="center"/>
    </xf>
    <xf numFmtId="0" fontId="0" fillId="0" borderId="32" xfId="0" applyFill="1" applyBorder="1" applyAlignment="1">
      <alignment horizontal="center"/>
    </xf>
    <xf numFmtId="0" fontId="177" fillId="16" borderId="32" xfId="0" applyFont="1" applyFill="1" applyBorder="1" applyAlignment="1">
      <alignment horizontal="center"/>
    </xf>
    <xf numFmtId="0" fontId="32" fillId="16" borderId="32" xfId="0" applyFont="1" applyFill="1" applyBorder="1" applyAlignment="1">
      <alignment horizontal="center"/>
    </xf>
    <xf numFmtId="0" fontId="178" fillId="0" borderId="0" xfId="0" applyFont="1" applyAlignment="1">
      <alignment vertical="center"/>
    </xf>
    <xf numFmtId="0" fontId="0" fillId="3" borderId="0" xfId="0" applyFill="1"/>
    <xf numFmtId="0" fontId="0" fillId="0" borderId="29" xfId="0" applyFill="1" applyBorder="1" applyAlignment="1">
      <alignment horizontal="center"/>
    </xf>
    <xf numFmtId="0" fontId="0" fillId="0" borderId="29" xfId="0" applyBorder="1" applyAlignment="1"/>
    <xf numFmtId="0" fontId="0" fillId="0" borderId="0" xfId="0" applyBorder="1" applyAlignment="1"/>
    <xf numFmtId="0" fontId="0" fillId="2" borderId="0" xfId="0" applyFill="1" applyBorder="1" applyAlignment="1"/>
    <xf numFmtId="0" fontId="0" fillId="3" borderId="11" xfId="0" applyFill="1" applyBorder="1" applyAlignment="1">
      <alignment horizontal="center" vertical="center"/>
    </xf>
    <xf numFmtId="0" fontId="26" fillId="3" borderId="11" xfId="0" applyFont="1" applyFill="1" applyBorder="1" applyAlignment="1">
      <alignment horizontal="center" vertical="center"/>
    </xf>
    <xf numFmtId="0" fontId="26" fillId="0" borderId="0" xfId="0" quotePrefix="1" applyFont="1" applyAlignment="1">
      <alignment horizontal="center" vertical="center"/>
    </xf>
    <xf numFmtId="0" fontId="0" fillId="16" borderId="0" xfId="0" applyFill="1" applyBorder="1"/>
    <xf numFmtId="0" fontId="0" fillId="21" borderId="11" xfId="0" applyFill="1" applyBorder="1"/>
    <xf numFmtId="0" fontId="0" fillId="47" borderId="11" xfId="0" applyFill="1" applyBorder="1"/>
    <xf numFmtId="0" fontId="10" fillId="0" borderId="0" xfId="0" applyFont="1"/>
    <xf numFmtId="0" fontId="10" fillId="2" borderId="0" xfId="0" applyFont="1" applyFill="1" applyAlignment="1">
      <alignment wrapText="1"/>
    </xf>
    <xf numFmtId="0" fontId="10" fillId="2" borderId="0" xfId="0" applyFont="1" applyFill="1" applyAlignment="1">
      <alignment vertical="center"/>
    </xf>
    <xf numFmtId="0" fontId="10" fillId="0" borderId="0" xfId="0" applyFont="1" applyAlignment="1">
      <alignment wrapText="1"/>
    </xf>
    <xf numFmtId="0" fontId="10" fillId="0" borderId="7" xfId="0" applyFont="1" applyBorder="1" applyAlignment="1">
      <alignment horizontal="right" wrapText="1"/>
    </xf>
    <xf numFmtId="0" fontId="10" fillId="0" borderId="8" xfId="0" applyFont="1" applyBorder="1" applyAlignment="1">
      <alignment horizontal="right" wrapText="1"/>
    </xf>
    <xf numFmtId="0" fontId="10" fillId="0" borderId="33" xfId="0" applyFont="1" applyBorder="1" applyAlignment="1">
      <alignment wrapText="1"/>
    </xf>
    <xf numFmtId="0" fontId="10" fillId="0" borderId="0" xfId="0" applyFont="1" applyFill="1" applyAlignment="1">
      <alignment wrapText="1"/>
    </xf>
    <xf numFmtId="0" fontId="10" fillId="0" borderId="0" xfId="0" applyFont="1" applyFill="1" applyAlignment="1">
      <alignment vertical="center"/>
    </xf>
    <xf numFmtId="184" fontId="0" fillId="0" borderId="0" xfId="0" applyNumberFormat="1"/>
    <xf numFmtId="179" fontId="0" fillId="0" borderId="11" xfId="0" applyNumberFormat="1" applyBorder="1"/>
    <xf numFmtId="0" fontId="10" fillId="2" borderId="9" xfId="0" applyFont="1" applyFill="1" applyBorder="1" applyAlignment="1">
      <alignment wrapText="1"/>
    </xf>
    <xf numFmtId="0" fontId="10" fillId="48" borderId="33" xfId="0" applyFont="1" applyFill="1" applyBorder="1" applyAlignment="1">
      <alignment horizontal="center" wrapText="1"/>
    </xf>
    <xf numFmtId="0" fontId="10" fillId="0" borderId="6" xfId="0" applyFont="1" applyBorder="1" applyAlignment="1">
      <alignment horizontal="center" wrapText="1"/>
    </xf>
    <xf numFmtId="0" fontId="0" fillId="0" borderId="0" xfId="0" applyAlignment="1">
      <alignment horizontal="center"/>
    </xf>
    <xf numFmtId="0" fontId="0" fillId="0" borderId="0" xfId="0" applyAlignment="1">
      <alignment horizontal="center" wrapText="1"/>
    </xf>
    <xf numFmtId="0" fontId="0" fillId="0" borderId="0" xfId="0" applyAlignment="1">
      <alignment horizontal="center" vertical="center"/>
    </xf>
    <xf numFmtId="0" fontId="7" fillId="0" borderId="15" xfId="0" applyFont="1" applyBorder="1"/>
    <xf numFmtId="0" fontId="0" fillId="0" borderId="15" xfId="0" applyBorder="1"/>
    <xf numFmtId="0" fontId="0" fillId="19" borderId="0" xfId="0" applyFill="1" applyAlignment="1">
      <alignment horizontal="center" vertical="center" wrapText="1"/>
    </xf>
    <xf numFmtId="0" fontId="0" fillId="19" borderId="0" xfId="0" applyFill="1" applyAlignment="1">
      <alignment horizontal="center" vertical="center"/>
    </xf>
    <xf numFmtId="0" fontId="16" fillId="2" borderId="0" xfId="0" applyFont="1" applyFill="1" applyAlignment="1">
      <alignment horizontal="center"/>
    </xf>
    <xf numFmtId="0" fontId="11" fillId="0" borderId="0" xfId="0" applyFont="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0" xfId="0" applyFont="1" applyBorder="1" applyAlignment="1">
      <alignment horizontal="center" vertical="center" wrapText="1"/>
    </xf>
    <xf numFmtId="0" fontId="8" fillId="0" borderId="0" xfId="0" applyFont="1" applyAlignment="1">
      <alignment horizontal="center" vertical="center"/>
    </xf>
    <xf numFmtId="0" fontId="0" fillId="0" borderId="17" xfId="0" applyBorder="1" applyAlignment="1">
      <alignment horizontal="center"/>
    </xf>
    <xf numFmtId="0" fontId="0" fillId="0" borderId="18" xfId="0" applyBorder="1" applyAlignment="1">
      <alignment horizontal="center"/>
    </xf>
    <xf numFmtId="0" fontId="29" fillId="0" borderId="0" xfId="0" applyFont="1" applyAlignment="1">
      <alignment horizontal="center"/>
    </xf>
    <xf numFmtId="0" fontId="0" fillId="0" borderId="0" xfId="0" applyAlignment="1"/>
    <xf numFmtId="0" fontId="36" fillId="0" borderId="0" xfId="0" applyFont="1" applyFill="1" applyAlignment="1">
      <alignment horizontal="center"/>
    </xf>
    <xf numFmtId="0" fontId="0" fillId="0" borderId="0" xfId="0" applyBorder="1" applyAlignment="1">
      <alignment horizontal="center" vertical="center"/>
    </xf>
    <xf numFmtId="0" fontId="153" fillId="13" borderId="0" xfId="0" applyFont="1" applyFill="1" applyAlignment="1">
      <alignment horizontal="center" vertical="center" wrapText="1"/>
    </xf>
    <xf numFmtId="0" fontId="11" fillId="42" borderId="0" xfId="0" applyFont="1" applyFill="1" applyAlignment="1">
      <alignment horizontal="center" vertical="center" wrapText="1"/>
    </xf>
    <xf numFmtId="0" fontId="11" fillId="0" borderId="20" xfId="0" applyFont="1" applyBorder="1" applyAlignment="1">
      <alignment horizontal="center" vertical="center" wrapText="1"/>
    </xf>
    <xf numFmtId="0" fontId="11" fillId="0" borderId="21" xfId="0" applyFont="1" applyBorder="1" applyAlignment="1">
      <alignment horizontal="center" vertical="center" wrapText="1"/>
    </xf>
    <xf numFmtId="0" fontId="11" fillId="0" borderId="22" xfId="0" applyFont="1" applyBorder="1" applyAlignment="1">
      <alignment horizontal="center" vertical="center" wrapText="1"/>
    </xf>
    <xf numFmtId="0" fontId="8" fillId="0" borderId="0" xfId="0" applyFont="1" applyAlignment="1">
      <alignment horizontal="center"/>
    </xf>
    <xf numFmtId="0" fontId="0" fillId="0" borderId="0" xfId="0" applyBorder="1" applyAlignment="1">
      <alignment horizontal="center"/>
    </xf>
    <xf numFmtId="0" fontId="75" fillId="0" borderId="0" xfId="0" applyFont="1" applyAlignment="1">
      <alignment horizontal="center"/>
    </xf>
    <xf numFmtId="0" fontId="0" fillId="0" borderId="0" xfId="0" applyFill="1" applyAlignment="1">
      <alignment horizontal="center"/>
    </xf>
    <xf numFmtId="0" fontId="26" fillId="0" borderId="0" xfId="0" applyFont="1" applyFill="1" applyAlignment="1">
      <alignment horizontal="center"/>
    </xf>
    <xf numFmtId="0" fontId="27" fillId="0" borderId="0" xfId="0" applyFont="1" applyFill="1" applyAlignment="1">
      <alignment horizontal="center"/>
    </xf>
    <xf numFmtId="0" fontId="0" fillId="0" borderId="0" xfId="0" applyAlignment="1">
      <alignment horizontal="left"/>
    </xf>
    <xf numFmtId="0" fontId="3" fillId="0" borderId="0" xfId="4" applyAlignment="1">
      <alignment horizontal="center" vertical="center"/>
    </xf>
    <xf numFmtId="0" fontId="3" fillId="16" borderId="0" xfId="4" applyFill="1" applyAlignment="1">
      <alignment horizontal="center" vertical="center"/>
    </xf>
    <xf numFmtId="0" fontId="3" fillId="0" borderId="0" xfId="4" applyFill="1" applyAlignment="1">
      <alignment horizontal="center" vertical="center"/>
    </xf>
    <xf numFmtId="0" fontId="3" fillId="32" borderId="11" xfId="4" applyFill="1" applyBorder="1" applyAlignment="1">
      <alignment horizontal="center" vertical="center"/>
    </xf>
    <xf numFmtId="0" fontId="94" fillId="2" borderId="0" xfId="0" applyFont="1" applyFill="1" applyAlignment="1">
      <alignment horizontal="center"/>
    </xf>
    <xf numFmtId="0" fontId="0" fillId="0" borderId="24" xfId="0" applyBorder="1" applyAlignment="1">
      <alignment horizontal="center" vertical="center"/>
    </xf>
    <xf numFmtId="0" fontId="0" fillId="0" borderId="0" xfId="0" applyAlignment="1">
      <alignment horizontal="center" vertical="center" wrapText="1"/>
    </xf>
    <xf numFmtId="0" fontId="99" fillId="28" borderId="0" xfId="0" applyFont="1" applyFill="1" applyAlignment="1">
      <alignment horizontal="center"/>
    </xf>
    <xf numFmtId="0" fontId="0" fillId="38" borderId="28" xfId="0" applyFill="1" applyBorder="1" applyAlignment="1">
      <alignment horizontal="center" vertical="center"/>
    </xf>
    <xf numFmtId="0" fontId="0" fillId="38" borderId="29" xfId="0" applyFill="1" applyBorder="1" applyAlignment="1">
      <alignment horizontal="center" vertical="center"/>
    </xf>
    <xf numFmtId="0" fontId="0" fillId="38" borderId="5" xfId="0" applyFill="1" applyBorder="1" applyAlignment="1">
      <alignment horizontal="center" vertical="center"/>
    </xf>
    <xf numFmtId="0" fontId="0" fillId="38" borderId="31" xfId="0" applyFill="1" applyBorder="1" applyAlignment="1">
      <alignment horizontal="center" vertical="center"/>
    </xf>
    <xf numFmtId="0" fontId="0" fillId="38" borderId="2" xfId="0" applyFill="1" applyBorder="1" applyAlignment="1">
      <alignment horizontal="center" vertical="center"/>
    </xf>
    <xf numFmtId="0" fontId="0" fillId="38" borderId="3" xfId="0" applyFill="1" applyBorder="1" applyAlignment="1">
      <alignment horizontal="center" vertical="center"/>
    </xf>
    <xf numFmtId="0" fontId="0" fillId="38" borderId="30" xfId="0" applyFill="1" applyBorder="1" applyAlignment="1">
      <alignment horizontal="center" vertical="center"/>
    </xf>
    <xf numFmtId="0" fontId="0" fillId="38" borderId="0" xfId="0" applyFill="1" applyBorder="1" applyAlignment="1">
      <alignment horizontal="center" vertical="center"/>
    </xf>
    <xf numFmtId="0" fontId="0" fillId="38" borderId="4" xfId="0" applyFill="1" applyBorder="1" applyAlignment="1">
      <alignment horizontal="center" vertical="center"/>
    </xf>
    <xf numFmtId="184" fontId="0" fillId="0" borderId="0" xfId="0" applyNumberFormat="1" applyAlignment="1">
      <alignment horizontal="center" vertical="center"/>
    </xf>
    <xf numFmtId="0" fontId="0" fillId="0" borderId="0" xfId="0" quotePrefix="1" applyAlignment="1">
      <alignment horizontal="center" vertical="center"/>
    </xf>
    <xf numFmtId="0" fontId="0" fillId="0" borderId="17" xfId="0" applyBorder="1" applyAlignment="1">
      <alignment horizontal="center" vertical="center"/>
    </xf>
    <xf numFmtId="0" fontId="10" fillId="0" borderId="9" xfId="0" applyFont="1" applyBorder="1" applyAlignment="1">
      <alignment horizontal="center" wrapText="1"/>
    </xf>
    <xf numFmtId="0" fontId="10" fillId="0" borderId="0" xfId="0" applyFont="1" applyBorder="1" applyAlignment="1">
      <alignment horizontal="center" wrapText="1"/>
    </xf>
  </cellXfs>
  <cellStyles count="7">
    <cellStyle name="쉼표 [0]" xfId="5" builtinId="6"/>
    <cellStyle name="좋음" xfId="3" builtinId="26"/>
    <cellStyle name="표준" xfId="0" builtinId="0"/>
    <cellStyle name="표준 2" xfId="2" xr:uid="{00000000-0005-0000-0000-000003000000}"/>
    <cellStyle name="표준 3" xfId="4" xr:uid="{00000000-0005-0000-0000-000004000000}"/>
    <cellStyle name="표준 4" xfId="6" xr:uid="{00000000-0005-0000-0000-000005000000}"/>
    <cellStyle name="하이퍼링크" xfId="1" builtinId="8"/>
  </cellStyles>
  <dxfs count="1">
    <dxf>
      <numFmt numFmtId="176" formatCode="0.00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theme" Target="theme/theme1.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worksheet" Target="worksheets/sheet80.xml"/><Relationship Id="rId85" Type="http://schemas.openxmlformats.org/officeDocument/2006/relationships/styles" Target="style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pivotCacheDefinition" Target="pivotCache/pivotCacheDefinition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externalLink" Target="externalLinks/externalLink1.xml"/><Relationship Id="rId86"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calcChain" Target="calcChain.xml"/><Relationship Id="rId61" Type="http://schemas.openxmlformats.org/officeDocument/2006/relationships/worksheet" Target="worksheets/sheet61.xml"/><Relationship Id="rId82"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1.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4.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5.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8.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9.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0.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1.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2.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3.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4.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5.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6.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 &gt; 1 </a:t>
            </a:r>
            <a:r>
              <a:rPr lang="ko-KR" altLang="en-US"/>
              <a:t>경우</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지수함수!$B$3:$B$23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9D61-45CE-AFD5-E9D8D3A9E5CC}"/>
            </c:ext>
          </c:extLst>
        </c:ser>
        <c:dLbls>
          <c:showLegendKey val="0"/>
          <c:showVal val="0"/>
          <c:showCatName val="0"/>
          <c:showSerName val="0"/>
          <c:showPercent val="0"/>
          <c:showBubbleSize val="0"/>
        </c:dLbls>
        <c:axId val="986534127"/>
        <c:axId val="986532047"/>
      </c:scatterChart>
      <c:valAx>
        <c:axId val="98653412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6532047"/>
        <c:crosses val="autoZero"/>
        <c:crossBetween val="midCat"/>
      </c:valAx>
      <c:valAx>
        <c:axId val="9865320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653412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지수함수!$V$106:$V$126</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지수함수!$W$106:$W$126</c:f>
              <c:numCache>
                <c:formatCode>General</c:formatCode>
                <c:ptCount val="21"/>
                <c:pt idx="0">
                  <c:v>3.7200759760215157E-44</c:v>
                </c:pt>
                <c:pt idx="1">
                  <c:v>8.1940126239918622E-40</c:v>
                </c:pt>
                <c:pt idx="2">
                  <c:v>1.8048513878456791E-35</c:v>
                </c:pt>
                <c:pt idx="3">
                  <c:v>3.9754497359091557E-31</c:v>
                </c:pt>
                <c:pt idx="4">
                  <c:v>8.7565107626974814E-27</c:v>
                </c:pt>
                <c:pt idx="5">
                  <c:v>1.9287498479640941E-22</c:v>
                </c:pt>
                <c:pt idx="6">
                  <c:v>4.2483542552918993E-18</c:v>
                </c:pt>
                <c:pt idx="7">
                  <c:v>9.3576229688398126E-14</c:v>
                </c:pt>
                <c:pt idx="8">
                  <c:v>2.0611536181902786E-9</c:v>
                </c:pt>
                <c:pt idx="9">
                  <c:v>4.5397868702435221E-5</c:v>
                </c:pt>
                <c:pt idx="10">
                  <c:v>0.5</c:v>
                </c:pt>
                <c:pt idx="11">
                  <c:v>0.99995460213129761</c:v>
                </c:pt>
                <c:pt idx="12">
                  <c:v>0.99999999793884631</c:v>
                </c:pt>
                <c:pt idx="13">
                  <c:v>0.99999999999990652</c:v>
                </c:pt>
                <c:pt idx="14">
                  <c:v>1</c:v>
                </c:pt>
                <c:pt idx="15">
                  <c:v>1</c:v>
                </c:pt>
                <c:pt idx="16">
                  <c:v>1</c:v>
                </c:pt>
                <c:pt idx="17">
                  <c:v>1</c:v>
                </c:pt>
                <c:pt idx="18">
                  <c:v>1</c:v>
                </c:pt>
                <c:pt idx="19">
                  <c:v>1</c:v>
                </c:pt>
                <c:pt idx="20">
                  <c:v>1</c:v>
                </c:pt>
              </c:numCache>
            </c:numRef>
          </c:yVal>
          <c:smooth val="0"/>
          <c:extLst>
            <c:ext xmlns:c16="http://schemas.microsoft.com/office/drawing/2014/chart" uri="{C3380CC4-5D6E-409C-BE32-E72D297353CC}">
              <c16:uniqueId val="{00000000-51B0-4B05-AB47-438A6ED33621}"/>
            </c:ext>
          </c:extLst>
        </c:ser>
        <c:dLbls>
          <c:showLegendKey val="0"/>
          <c:showVal val="0"/>
          <c:showCatName val="0"/>
          <c:showSerName val="0"/>
          <c:showPercent val="0"/>
          <c:showBubbleSize val="0"/>
        </c:dLbls>
        <c:axId val="1207675167"/>
        <c:axId val="1207673919"/>
      </c:scatterChart>
      <c:valAx>
        <c:axId val="120767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3919"/>
        <c:crosses val="autoZero"/>
        <c:crossBetween val="midCat"/>
      </c:valAx>
      <c:valAx>
        <c:axId val="1207673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지수함수!$AF$107:$AF$147</c:f>
              <c:numCache>
                <c:formatCode>General</c:formatCode>
                <c:ptCount val="41"/>
                <c:pt idx="0">
                  <c:v>-2</c:v>
                </c:pt>
                <c:pt idx="1">
                  <c:v>-1.9</c:v>
                </c:pt>
                <c:pt idx="2">
                  <c:v>-1.8</c:v>
                </c:pt>
                <c:pt idx="3">
                  <c:v>-1.7</c:v>
                </c:pt>
                <c:pt idx="4">
                  <c:v>-1.6</c:v>
                </c:pt>
                <c:pt idx="5">
                  <c:v>-1.5</c:v>
                </c:pt>
                <c:pt idx="6">
                  <c:v>-1.4</c:v>
                </c:pt>
                <c:pt idx="7">
                  <c:v>-1.3</c:v>
                </c:pt>
                <c:pt idx="8">
                  <c:v>-1.2</c:v>
                </c:pt>
                <c:pt idx="9">
                  <c:v>-1.1000000000000001</c:v>
                </c:pt>
                <c:pt idx="10">
                  <c:v>-1</c:v>
                </c:pt>
                <c:pt idx="11">
                  <c:v>-0.9</c:v>
                </c:pt>
                <c:pt idx="12">
                  <c:v>-0.8</c:v>
                </c:pt>
                <c:pt idx="13">
                  <c:v>-0.7</c:v>
                </c:pt>
                <c:pt idx="14">
                  <c:v>-0.6</c:v>
                </c:pt>
                <c:pt idx="15">
                  <c:v>-0.5</c:v>
                </c:pt>
                <c:pt idx="16">
                  <c:v>-0.4</c:v>
                </c:pt>
                <c:pt idx="17">
                  <c:v>-0.3</c:v>
                </c:pt>
                <c:pt idx="18">
                  <c:v>-0.2</c:v>
                </c:pt>
                <c:pt idx="19">
                  <c:v>-0.1</c:v>
                </c:pt>
                <c:pt idx="20">
                  <c:v>0</c:v>
                </c:pt>
                <c:pt idx="21">
                  <c:v>0.1</c:v>
                </c:pt>
                <c:pt idx="22">
                  <c:v>0.2</c:v>
                </c:pt>
                <c:pt idx="23">
                  <c:v>0.3</c:v>
                </c:pt>
                <c:pt idx="24">
                  <c:v>0.4</c:v>
                </c:pt>
                <c:pt idx="25">
                  <c:v>0.5</c:v>
                </c:pt>
                <c:pt idx="26">
                  <c:v>0.6</c:v>
                </c:pt>
                <c:pt idx="27">
                  <c:v>0.7</c:v>
                </c:pt>
                <c:pt idx="28">
                  <c:v>0.8</c:v>
                </c:pt>
                <c:pt idx="29">
                  <c:v>0.9</c:v>
                </c:pt>
                <c:pt idx="30">
                  <c:v>1</c:v>
                </c:pt>
                <c:pt idx="31">
                  <c:v>1.1000000000000001</c:v>
                </c:pt>
                <c:pt idx="32">
                  <c:v>1.2</c:v>
                </c:pt>
                <c:pt idx="33">
                  <c:v>1.3</c:v>
                </c:pt>
                <c:pt idx="34">
                  <c:v>1.4</c:v>
                </c:pt>
                <c:pt idx="35">
                  <c:v>1.5</c:v>
                </c:pt>
                <c:pt idx="36">
                  <c:v>1.6</c:v>
                </c:pt>
                <c:pt idx="37">
                  <c:v>1.7</c:v>
                </c:pt>
                <c:pt idx="38">
                  <c:v>1.8</c:v>
                </c:pt>
                <c:pt idx="39">
                  <c:v>1.9</c:v>
                </c:pt>
                <c:pt idx="40">
                  <c:v>2</c:v>
                </c:pt>
              </c:numCache>
            </c:numRef>
          </c:xVal>
          <c:yVal>
            <c:numRef>
              <c:f>지수함수!$AG$107:$AG$147</c:f>
              <c:numCache>
                <c:formatCode>General</c:formatCode>
                <c:ptCount val="41"/>
                <c:pt idx="0">
                  <c:v>0.11920292202211794</c:v>
                </c:pt>
                <c:pt idx="1">
                  <c:v>0.13010847436299824</c:v>
                </c:pt>
                <c:pt idx="2">
                  <c:v>0.14185106490048818</c:v>
                </c:pt>
                <c:pt idx="3">
                  <c:v>0.15446526508353511</c:v>
                </c:pt>
                <c:pt idx="4">
                  <c:v>0.16798161486607593</c:v>
                </c:pt>
                <c:pt idx="5">
                  <c:v>0.18242552380635677</c:v>
                </c:pt>
                <c:pt idx="6">
                  <c:v>0.1978161114414187</c:v>
                </c:pt>
                <c:pt idx="7">
                  <c:v>0.21416501695744178</c:v>
                </c:pt>
                <c:pt idx="8">
                  <c:v>0.23147521650098274</c:v>
                </c:pt>
                <c:pt idx="9">
                  <c:v>0.24973989440488278</c:v>
                </c:pt>
                <c:pt idx="10">
                  <c:v>0.26894142136999549</c:v>
                </c:pt>
                <c:pt idx="11">
                  <c:v>0.28905049737499638</c:v>
                </c:pt>
                <c:pt idx="12">
                  <c:v>0.31002551887238788</c:v>
                </c:pt>
                <c:pt idx="13">
                  <c:v>0.33181222783183417</c:v>
                </c:pt>
                <c:pt idx="14">
                  <c:v>0.35434369377420483</c:v>
                </c:pt>
                <c:pt idx="15">
                  <c:v>0.37754066879814568</c:v>
                </c:pt>
                <c:pt idx="16">
                  <c:v>0.40131233988754816</c:v>
                </c:pt>
                <c:pt idx="17">
                  <c:v>0.42555748318834113</c:v>
                </c:pt>
                <c:pt idx="18">
                  <c:v>0.45016600268752216</c:v>
                </c:pt>
                <c:pt idx="19">
                  <c:v>0.47502081252105999</c:v>
                </c:pt>
                <c:pt idx="20">
                  <c:v>0.5</c:v>
                </c:pt>
                <c:pt idx="21">
                  <c:v>0.5249791874789399</c:v>
                </c:pt>
                <c:pt idx="22">
                  <c:v>0.54983399731247784</c:v>
                </c:pt>
                <c:pt idx="23">
                  <c:v>0.57444251681165892</c:v>
                </c:pt>
                <c:pt idx="24">
                  <c:v>0.59868766011245178</c:v>
                </c:pt>
                <c:pt idx="25">
                  <c:v>0.62245933120185426</c:v>
                </c:pt>
                <c:pt idx="26">
                  <c:v>0.64565630622579528</c:v>
                </c:pt>
                <c:pt idx="27">
                  <c:v>0.66818777216816583</c:v>
                </c:pt>
                <c:pt idx="28">
                  <c:v>0.68997448112761217</c:v>
                </c:pt>
                <c:pt idx="29">
                  <c:v>0.71094950262500356</c:v>
                </c:pt>
                <c:pt idx="30">
                  <c:v>0.73105857863000456</c:v>
                </c:pt>
                <c:pt idx="31">
                  <c:v>0.75026010559511724</c:v>
                </c:pt>
                <c:pt idx="32">
                  <c:v>0.76852478349901732</c:v>
                </c:pt>
                <c:pt idx="33">
                  <c:v>0.78583498304255828</c:v>
                </c:pt>
                <c:pt idx="34">
                  <c:v>0.80218388855858125</c:v>
                </c:pt>
                <c:pt idx="35">
                  <c:v>0.81757447619364332</c:v>
                </c:pt>
                <c:pt idx="36">
                  <c:v>0.83201838513392401</c:v>
                </c:pt>
                <c:pt idx="37">
                  <c:v>0.8455347349164648</c:v>
                </c:pt>
                <c:pt idx="38">
                  <c:v>0.85814893509951173</c:v>
                </c:pt>
                <c:pt idx="39">
                  <c:v>0.86989152563700178</c:v>
                </c:pt>
                <c:pt idx="40">
                  <c:v>0.88079707797788198</c:v>
                </c:pt>
              </c:numCache>
            </c:numRef>
          </c:yVal>
          <c:smooth val="0"/>
          <c:extLst>
            <c:ext xmlns:c16="http://schemas.microsoft.com/office/drawing/2014/chart" uri="{C3380CC4-5D6E-409C-BE32-E72D297353CC}">
              <c16:uniqueId val="{00000000-A6A1-41C3-A9A2-4E00B40719A3}"/>
            </c:ext>
          </c:extLst>
        </c:ser>
        <c:dLbls>
          <c:showLegendKey val="0"/>
          <c:showVal val="0"/>
          <c:showCatName val="0"/>
          <c:showSerName val="0"/>
          <c:showPercent val="0"/>
          <c:showBubbleSize val="0"/>
        </c:dLbls>
        <c:axId val="985217599"/>
        <c:axId val="985216767"/>
      </c:scatterChart>
      <c:valAx>
        <c:axId val="98521759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5216767"/>
        <c:crosses val="autoZero"/>
        <c:crossBetween val="midCat"/>
      </c:valAx>
      <c:valAx>
        <c:axId val="9852167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521759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지수함수!$AO$106:$AO$148</c:f>
              <c:numCache>
                <c:formatCode>General</c:formatCode>
                <c:ptCount val="43"/>
                <c:pt idx="0">
                  <c:v>-100</c:v>
                </c:pt>
                <c:pt idx="1">
                  <c:v>-2</c:v>
                </c:pt>
                <c:pt idx="2">
                  <c:v>-1.9</c:v>
                </c:pt>
                <c:pt idx="3">
                  <c:v>-1.8</c:v>
                </c:pt>
                <c:pt idx="4">
                  <c:v>-1.7</c:v>
                </c:pt>
                <c:pt idx="5">
                  <c:v>-1.6</c:v>
                </c:pt>
                <c:pt idx="6">
                  <c:v>-1.5</c:v>
                </c:pt>
                <c:pt idx="7">
                  <c:v>-1.4</c:v>
                </c:pt>
                <c:pt idx="8">
                  <c:v>-1.3</c:v>
                </c:pt>
                <c:pt idx="9">
                  <c:v>-1.2</c:v>
                </c:pt>
                <c:pt idx="10">
                  <c:v>-1.1000000000000001</c:v>
                </c:pt>
                <c:pt idx="11">
                  <c:v>-1</c:v>
                </c:pt>
                <c:pt idx="12">
                  <c:v>-0.9</c:v>
                </c:pt>
                <c:pt idx="13">
                  <c:v>-0.8</c:v>
                </c:pt>
                <c:pt idx="14">
                  <c:v>-0.7</c:v>
                </c:pt>
                <c:pt idx="15">
                  <c:v>-0.6</c:v>
                </c:pt>
                <c:pt idx="16">
                  <c:v>-0.5</c:v>
                </c:pt>
                <c:pt idx="17">
                  <c:v>-0.4</c:v>
                </c:pt>
                <c:pt idx="18">
                  <c:v>-0.3</c:v>
                </c:pt>
                <c:pt idx="19">
                  <c:v>-0.2</c:v>
                </c:pt>
                <c:pt idx="20">
                  <c:v>-0.1</c:v>
                </c:pt>
                <c:pt idx="21">
                  <c:v>0</c:v>
                </c:pt>
                <c:pt idx="22">
                  <c:v>0.1</c:v>
                </c:pt>
                <c:pt idx="23">
                  <c:v>0.2</c:v>
                </c:pt>
                <c:pt idx="24">
                  <c:v>0.3</c:v>
                </c:pt>
                <c:pt idx="25">
                  <c:v>0.4</c:v>
                </c:pt>
                <c:pt idx="26">
                  <c:v>0.5</c:v>
                </c:pt>
                <c:pt idx="27">
                  <c:v>0.6</c:v>
                </c:pt>
                <c:pt idx="28">
                  <c:v>0.7</c:v>
                </c:pt>
                <c:pt idx="29">
                  <c:v>0.8</c:v>
                </c:pt>
                <c:pt idx="30">
                  <c:v>0.9</c:v>
                </c:pt>
                <c:pt idx="31">
                  <c:v>1</c:v>
                </c:pt>
                <c:pt idx="32">
                  <c:v>1.1000000000000001</c:v>
                </c:pt>
                <c:pt idx="33">
                  <c:v>1.2</c:v>
                </c:pt>
                <c:pt idx="34">
                  <c:v>1.3</c:v>
                </c:pt>
                <c:pt idx="35">
                  <c:v>1.4</c:v>
                </c:pt>
                <c:pt idx="36">
                  <c:v>1.5</c:v>
                </c:pt>
                <c:pt idx="37">
                  <c:v>1.6</c:v>
                </c:pt>
                <c:pt idx="38">
                  <c:v>1.7</c:v>
                </c:pt>
                <c:pt idx="39">
                  <c:v>1.8</c:v>
                </c:pt>
                <c:pt idx="40">
                  <c:v>1.9</c:v>
                </c:pt>
                <c:pt idx="41">
                  <c:v>2</c:v>
                </c:pt>
                <c:pt idx="42">
                  <c:v>100</c:v>
                </c:pt>
              </c:numCache>
            </c:numRef>
          </c:xVal>
          <c:yVal>
            <c:numRef>
              <c:f>지수함수!$AP$106:$AP$148</c:f>
              <c:numCache>
                <c:formatCode>General</c:formatCode>
                <c:ptCount val="43"/>
                <c:pt idx="0">
                  <c:v>3.7200759760215157E-44</c:v>
                </c:pt>
                <c:pt idx="1">
                  <c:v>0.11920292202211794</c:v>
                </c:pt>
                <c:pt idx="2">
                  <c:v>0.13010847436299824</c:v>
                </c:pt>
                <c:pt idx="3">
                  <c:v>0.14185106490048818</c:v>
                </c:pt>
                <c:pt idx="4">
                  <c:v>0.15446526508353511</c:v>
                </c:pt>
                <c:pt idx="5">
                  <c:v>0.16798161486607593</c:v>
                </c:pt>
                <c:pt idx="6">
                  <c:v>0.18242552380635677</c:v>
                </c:pt>
                <c:pt idx="7">
                  <c:v>0.1978161114414187</c:v>
                </c:pt>
                <c:pt idx="8">
                  <c:v>0.21416501695744178</c:v>
                </c:pt>
                <c:pt idx="9">
                  <c:v>0.23147521650098274</c:v>
                </c:pt>
                <c:pt idx="10">
                  <c:v>0.24973989440488278</c:v>
                </c:pt>
                <c:pt idx="11">
                  <c:v>0.26894142136999549</c:v>
                </c:pt>
                <c:pt idx="12">
                  <c:v>0.28905049737499638</c:v>
                </c:pt>
                <c:pt idx="13">
                  <c:v>0.31002551887238788</c:v>
                </c:pt>
                <c:pt idx="14">
                  <c:v>0.33181222783183417</c:v>
                </c:pt>
                <c:pt idx="15">
                  <c:v>0.35434369377420483</c:v>
                </c:pt>
                <c:pt idx="16">
                  <c:v>0.37754066879814568</c:v>
                </c:pt>
                <c:pt idx="17">
                  <c:v>0.40131233988754816</c:v>
                </c:pt>
                <c:pt idx="18">
                  <c:v>0.42555748318834113</c:v>
                </c:pt>
                <c:pt idx="19">
                  <c:v>0.45016600268752216</c:v>
                </c:pt>
                <c:pt idx="20">
                  <c:v>0.47502081252105999</c:v>
                </c:pt>
                <c:pt idx="21">
                  <c:v>0.5</c:v>
                </c:pt>
                <c:pt idx="22">
                  <c:v>0.5249791874789399</c:v>
                </c:pt>
                <c:pt idx="23">
                  <c:v>0.54983399731247784</c:v>
                </c:pt>
                <c:pt idx="24">
                  <c:v>0.57444251681165892</c:v>
                </c:pt>
                <c:pt idx="25">
                  <c:v>0.59868766011245178</c:v>
                </c:pt>
                <c:pt idx="26">
                  <c:v>0.62245933120185426</c:v>
                </c:pt>
                <c:pt idx="27">
                  <c:v>0.64565630622579528</c:v>
                </c:pt>
                <c:pt idx="28">
                  <c:v>0.66818777216816583</c:v>
                </c:pt>
                <c:pt idx="29">
                  <c:v>0.68997448112761217</c:v>
                </c:pt>
                <c:pt idx="30">
                  <c:v>0.71094950262500356</c:v>
                </c:pt>
                <c:pt idx="31">
                  <c:v>0.73105857863000456</c:v>
                </c:pt>
                <c:pt idx="32">
                  <c:v>0.75026010559511724</c:v>
                </c:pt>
                <c:pt idx="33">
                  <c:v>0.76852478349901732</c:v>
                </c:pt>
                <c:pt idx="34">
                  <c:v>0.78583498304255828</c:v>
                </c:pt>
                <c:pt idx="35">
                  <c:v>0.80218388855858125</c:v>
                </c:pt>
                <c:pt idx="36">
                  <c:v>0.81757447619364332</c:v>
                </c:pt>
                <c:pt idx="37">
                  <c:v>0.83201838513392401</c:v>
                </c:pt>
                <c:pt idx="38">
                  <c:v>0.8455347349164648</c:v>
                </c:pt>
                <c:pt idx="39">
                  <c:v>0.85814893509951173</c:v>
                </c:pt>
                <c:pt idx="40">
                  <c:v>0.86989152563700178</c:v>
                </c:pt>
                <c:pt idx="41">
                  <c:v>0.88079707797788198</c:v>
                </c:pt>
                <c:pt idx="42">
                  <c:v>1</c:v>
                </c:pt>
              </c:numCache>
            </c:numRef>
          </c:yVal>
          <c:smooth val="0"/>
          <c:extLst>
            <c:ext xmlns:c16="http://schemas.microsoft.com/office/drawing/2014/chart" uri="{C3380CC4-5D6E-409C-BE32-E72D297353CC}">
              <c16:uniqueId val="{00000000-6252-4B49-8DB2-D66D3C74656B}"/>
            </c:ext>
          </c:extLst>
        </c:ser>
        <c:dLbls>
          <c:showLegendKey val="0"/>
          <c:showVal val="0"/>
          <c:showCatName val="0"/>
          <c:showSerName val="0"/>
          <c:showPercent val="0"/>
          <c:showBubbleSize val="0"/>
        </c:dLbls>
        <c:axId val="1090140815"/>
        <c:axId val="1090141231"/>
      </c:scatterChart>
      <c:valAx>
        <c:axId val="109014081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1231"/>
        <c:crosses val="autoZero"/>
        <c:crossBetween val="midCat"/>
      </c:valAx>
      <c:valAx>
        <c:axId val="10901412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0815"/>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로그함수2!$A$19:$A$28</c:f>
              <c:numCache>
                <c:formatCode>General</c:formatCode>
                <c:ptCount val="10"/>
                <c:pt idx="0">
                  <c:v>0.6</c:v>
                </c:pt>
                <c:pt idx="1">
                  <c:v>0.7</c:v>
                </c:pt>
                <c:pt idx="2">
                  <c:v>0.8</c:v>
                </c:pt>
                <c:pt idx="3">
                  <c:v>0.9</c:v>
                </c:pt>
                <c:pt idx="4">
                  <c:v>1</c:v>
                </c:pt>
                <c:pt idx="5">
                  <c:v>1.1000000000000001</c:v>
                </c:pt>
                <c:pt idx="6">
                  <c:v>1.2</c:v>
                </c:pt>
                <c:pt idx="7">
                  <c:v>1.3</c:v>
                </c:pt>
                <c:pt idx="8">
                  <c:v>1.4</c:v>
                </c:pt>
                <c:pt idx="9">
                  <c:v>1.5</c:v>
                </c:pt>
              </c:numCache>
            </c:numRef>
          </c:xVal>
          <c:yVal>
            <c:numRef>
              <c:f>로그함수2!$B$19:$B$28</c:f>
              <c:numCache>
                <c:formatCode>General</c:formatCode>
                <c:ptCount val="10"/>
                <c:pt idx="0">
                  <c:v>-0.73696559416620622</c:v>
                </c:pt>
                <c:pt idx="1">
                  <c:v>-0.51457317282975834</c:v>
                </c:pt>
                <c:pt idx="2">
                  <c:v>-0.32192809488736229</c:v>
                </c:pt>
                <c:pt idx="3">
                  <c:v>-0.15200309344504997</c:v>
                </c:pt>
                <c:pt idx="4">
                  <c:v>0</c:v>
                </c:pt>
                <c:pt idx="5">
                  <c:v>0.13750352374993502</c:v>
                </c:pt>
                <c:pt idx="6">
                  <c:v>0.26303440583379378</c:v>
                </c:pt>
                <c:pt idx="7">
                  <c:v>0.37851162325372983</c:v>
                </c:pt>
                <c:pt idx="8">
                  <c:v>0.48542682717024171</c:v>
                </c:pt>
                <c:pt idx="9">
                  <c:v>0.58496250072115619</c:v>
                </c:pt>
              </c:numCache>
            </c:numRef>
          </c:yVal>
          <c:smooth val="0"/>
          <c:extLst>
            <c:ext xmlns:c16="http://schemas.microsoft.com/office/drawing/2014/chart" uri="{C3380CC4-5D6E-409C-BE32-E72D297353CC}">
              <c16:uniqueId val="{00000000-AF31-43D3-94A6-3FC6DB03FC08}"/>
            </c:ext>
          </c:extLst>
        </c:ser>
        <c:dLbls>
          <c:showLegendKey val="0"/>
          <c:showVal val="0"/>
          <c:showCatName val="0"/>
          <c:showSerName val="0"/>
          <c:showPercent val="0"/>
          <c:showBubbleSize val="0"/>
        </c:dLbls>
        <c:axId val="1090143727"/>
        <c:axId val="1090142895"/>
      </c:scatterChart>
      <c:valAx>
        <c:axId val="109014372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2895"/>
        <c:crosses val="autoZero"/>
        <c:crossBetween val="midCat"/>
      </c:valAx>
      <c:valAx>
        <c:axId val="10901428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372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2"/>
              </a:solidFill>
              <a:round/>
            </a:ln>
            <a:effectLst/>
          </c:spPr>
          <c:marker>
            <c:symbol val="none"/>
          </c:marker>
          <c:dPt>
            <c:idx val="16"/>
            <c:marker>
              <c:symbol val="none"/>
            </c:marker>
            <c:bubble3D val="0"/>
            <c:spPr>
              <a:ln w="19050" cap="rnd">
                <a:solidFill>
                  <a:srgbClr val="FF0000"/>
                </a:solidFill>
                <a:round/>
              </a:ln>
              <a:effectLst/>
            </c:spPr>
            <c:extLst>
              <c:ext xmlns:c16="http://schemas.microsoft.com/office/drawing/2014/chart" uri="{C3380CC4-5D6E-409C-BE32-E72D297353CC}">
                <c16:uniqueId val="{00000004-323E-43C5-8BE9-5D31957CF461}"/>
              </c:ext>
            </c:extLst>
          </c:dPt>
          <c:xVal>
            <c:numRef>
              <c:f>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로그함수2!$Q$109:$Q$131</c:f>
              <c:numCache>
                <c:formatCode>General</c:formatCode>
                <c:ptCount val="23"/>
                <c:pt idx="5">
                  <c:v>-7.9181246047624818E-2</c:v>
                </c:pt>
                <c:pt idx="6">
                  <c:v>-4.1392685158225077E-2</c:v>
                </c:pt>
                <c:pt idx="7">
                  <c:v>0</c:v>
                </c:pt>
                <c:pt idx="8">
                  <c:v>4.5757490560675115E-2</c:v>
                </c:pt>
                <c:pt idx="9">
                  <c:v>9.6910013008056392E-2</c:v>
                </c:pt>
                <c:pt idx="10">
                  <c:v>0.15490195998574319</c:v>
                </c:pt>
                <c:pt idx="11">
                  <c:v>0.22184874961635639</c:v>
                </c:pt>
                <c:pt idx="12">
                  <c:v>0.3010299956639812</c:v>
                </c:pt>
                <c:pt idx="13">
                  <c:v>0.3979400086720376</c:v>
                </c:pt>
                <c:pt idx="14">
                  <c:v>0.52287874528033751</c:v>
                </c:pt>
                <c:pt idx="15">
                  <c:v>0.69897000433601886</c:v>
                </c:pt>
                <c:pt idx="16">
                  <c:v>1</c:v>
                </c:pt>
              </c:numCache>
            </c:numRef>
          </c:yVal>
          <c:smooth val="0"/>
          <c:extLst>
            <c:ext xmlns:c16="http://schemas.microsoft.com/office/drawing/2014/chart" uri="{C3380CC4-5D6E-409C-BE32-E72D297353CC}">
              <c16:uniqueId val="{00000000-323E-43C5-8BE9-5D31957CF461}"/>
            </c:ext>
          </c:extLst>
        </c:ser>
        <c:ser>
          <c:idx val="1"/>
          <c:order val="1"/>
          <c:spPr>
            <a:ln w="19050" cap="rnd">
              <a:solidFill>
                <a:schemeClr val="accent1"/>
              </a:solidFill>
              <a:round/>
            </a:ln>
            <a:effectLst/>
          </c:spPr>
          <c:marker>
            <c:symbol val="none"/>
          </c:marker>
          <c:dPt>
            <c:idx val="11"/>
            <c:marker>
              <c:symbol val="none"/>
            </c:marker>
            <c:bubble3D val="0"/>
            <c:spPr>
              <a:ln w="19050" cap="rnd">
                <a:solidFill>
                  <a:schemeClr val="accent1">
                    <a:lumMod val="75000"/>
                  </a:schemeClr>
                </a:solidFill>
                <a:round/>
              </a:ln>
              <a:effectLst/>
            </c:spPr>
            <c:extLst>
              <c:ext xmlns:c16="http://schemas.microsoft.com/office/drawing/2014/chart" uri="{C3380CC4-5D6E-409C-BE32-E72D297353CC}">
                <c16:uniqueId val="{00000005-323E-43C5-8BE9-5D31957CF461}"/>
              </c:ext>
            </c:extLst>
          </c:dPt>
          <c:xVal>
            <c:numRef>
              <c:f>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로그함수2!$R$109:$R$131</c:f>
              <c:numCache>
                <c:formatCode>General</c:formatCode>
                <c:ptCount val="23"/>
                <c:pt idx="8">
                  <c:v>1</c:v>
                </c:pt>
                <c:pt idx="9">
                  <c:v>0.69897000433601875</c:v>
                </c:pt>
                <c:pt idx="10">
                  <c:v>0.52287874528033762</c:v>
                </c:pt>
                <c:pt idx="11">
                  <c:v>0.3979400086720376</c:v>
                </c:pt>
                <c:pt idx="12">
                  <c:v>0.3010299956639812</c:v>
                </c:pt>
                <c:pt idx="13">
                  <c:v>0.22184874961635639</c:v>
                </c:pt>
                <c:pt idx="14">
                  <c:v>0.15490195998574319</c:v>
                </c:pt>
                <c:pt idx="15">
                  <c:v>9.6910013008056392E-2</c:v>
                </c:pt>
                <c:pt idx="16">
                  <c:v>4.5757490560675115E-2</c:v>
                </c:pt>
                <c:pt idx="17">
                  <c:v>0</c:v>
                </c:pt>
                <c:pt idx="18">
                  <c:v>-4.1392685158225077E-2</c:v>
                </c:pt>
                <c:pt idx="19">
                  <c:v>-7.9181246047624818E-2</c:v>
                </c:pt>
                <c:pt idx="20">
                  <c:v>-0.11394335230683679</c:v>
                </c:pt>
              </c:numCache>
            </c:numRef>
          </c:yVal>
          <c:smooth val="0"/>
          <c:extLst>
            <c:ext xmlns:c16="http://schemas.microsoft.com/office/drawing/2014/chart" uri="{C3380CC4-5D6E-409C-BE32-E72D297353CC}">
              <c16:uniqueId val="{00000001-323E-43C5-8BE9-5D31957CF461}"/>
            </c:ext>
          </c:extLst>
        </c:ser>
        <c:dLbls>
          <c:showLegendKey val="0"/>
          <c:showVal val="0"/>
          <c:showCatName val="0"/>
          <c:showSerName val="0"/>
          <c:showPercent val="0"/>
          <c:showBubbleSize val="0"/>
        </c:dLbls>
        <c:axId val="1174979519"/>
        <c:axId val="1174979935"/>
      </c:scatterChart>
      <c:valAx>
        <c:axId val="1174979519"/>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935"/>
        <c:crosses val="autoZero"/>
        <c:crossBetween val="midCat"/>
      </c:valAx>
      <c:valAx>
        <c:axId val="1174979935"/>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51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표준시그모이드</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로그함수2!$C$148:$C$168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로그함수2!$D$148:$D$168</c:f>
              <c:numCache>
                <c:formatCode>General</c:formatCode>
                <c:ptCount val="21"/>
                <c:pt idx="0">
                  <c:v>4.5397868702434395E-5</c:v>
                </c:pt>
                <c:pt idx="1">
                  <c:v>1.2339457598623172E-4</c:v>
                </c:pt>
                <c:pt idx="2">
                  <c:v>3.3535013046647811E-4</c:v>
                </c:pt>
                <c:pt idx="3">
                  <c:v>9.1105119440064539E-4</c:v>
                </c:pt>
                <c:pt idx="4">
                  <c:v>2.4726231566347743E-3</c:v>
                </c:pt>
                <c:pt idx="5">
                  <c:v>6.6928509242848554E-3</c:v>
                </c:pt>
                <c:pt idx="6">
                  <c:v>1.7986209962091559E-2</c:v>
                </c:pt>
                <c:pt idx="7">
                  <c:v>4.7425873177566781E-2</c:v>
                </c:pt>
                <c:pt idx="8">
                  <c:v>0.11920292202211755</c:v>
                </c:pt>
                <c:pt idx="9">
                  <c:v>0.2689414213699951</c:v>
                </c:pt>
                <c:pt idx="10">
                  <c:v>0.5</c:v>
                </c:pt>
                <c:pt idx="11">
                  <c:v>0.7310585786300049</c:v>
                </c:pt>
                <c:pt idx="12">
                  <c:v>0.88079707797788231</c:v>
                </c:pt>
                <c:pt idx="13">
                  <c:v>0.95257412682243336</c:v>
                </c:pt>
                <c:pt idx="14">
                  <c:v>0.98201379003790845</c:v>
                </c:pt>
                <c:pt idx="15">
                  <c:v>0.99330714907571527</c:v>
                </c:pt>
                <c:pt idx="16">
                  <c:v>0.99752737684336534</c:v>
                </c:pt>
                <c:pt idx="17">
                  <c:v>0.9990889488055994</c:v>
                </c:pt>
                <c:pt idx="18">
                  <c:v>0.99966464986953363</c:v>
                </c:pt>
                <c:pt idx="19">
                  <c:v>0.99987660542401369</c:v>
                </c:pt>
                <c:pt idx="20">
                  <c:v>0.99995460213129761</c:v>
                </c:pt>
              </c:numCache>
            </c:numRef>
          </c:yVal>
          <c:smooth val="0"/>
          <c:extLst>
            <c:ext xmlns:c16="http://schemas.microsoft.com/office/drawing/2014/chart" uri="{C3380CC4-5D6E-409C-BE32-E72D297353CC}">
              <c16:uniqueId val="{00000000-F43A-4DDC-AC28-FE7EF47BAA55}"/>
            </c:ext>
          </c:extLst>
        </c:ser>
        <c:dLbls>
          <c:showLegendKey val="0"/>
          <c:showVal val="0"/>
          <c:showCatName val="0"/>
          <c:showSerName val="0"/>
          <c:showPercent val="0"/>
          <c:showBubbleSize val="0"/>
        </c:dLbls>
        <c:axId val="651957920"/>
        <c:axId val="651955952"/>
      </c:scatterChart>
      <c:valAx>
        <c:axId val="6519579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51955952"/>
        <c:crosses val="autoZero"/>
        <c:crossBetween val="midCat"/>
      </c:valAx>
      <c:valAx>
        <c:axId val="6519559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519579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a=10,b=1</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로그함수2!$N$147:$N$167</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로그함수2!$O$147:$O$167</c:f>
              <c:numCache>
                <c:formatCode>General</c:formatCode>
                <c:ptCount val="21"/>
                <c:pt idx="0">
                  <c:v>1.0112214926104486E-43</c:v>
                </c:pt>
                <c:pt idx="1">
                  <c:v>2.2273635617957434E-39</c:v>
                </c:pt>
                <c:pt idx="2">
                  <c:v>4.9060947306492808E-35</c:v>
                </c:pt>
                <c:pt idx="3">
                  <c:v>1.0806392777072785E-30</c:v>
                </c:pt>
                <c:pt idx="4">
                  <c:v>2.3802664086944004E-26</c:v>
                </c:pt>
                <c:pt idx="5">
                  <c:v>5.2428856633634639E-22</c:v>
                </c:pt>
                <c:pt idx="6">
                  <c:v>1.1548224173015786E-17</c:v>
                </c:pt>
                <c:pt idx="7">
                  <c:v>2.543665647376276E-13</c:v>
                </c:pt>
                <c:pt idx="8">
                  <c:v>5.6027964061459406E-9</c:v>
                </c:pt>
                <c:pt idx="9">
                  <c:v>1.2339457598623172E-4</c:v>
                </c:pt>
                <c:pt idx="10">
                  <c:v>0.7310585786300049</c:v>
                </c:pt>
                <c:pt idx="11">
                  <c:v>0.99998329857815205</c:v>
                </c:pt>
                <c:pt idx="12">
                  <c:v>0.99999999924174388</c:v>
                </c:pt>
                <c:pt idx="13">
                  <c:v>0.99999999999996558</c:v>
                </c:pt>
                <c:pt idx="14">
                  <c:v>1</c:v>
                </c:pt>
                <c:pt idx="15">
                  <c:v>1</c:v>
                </c:pt>
                <c:pt idx="16">
                  <c:v>1</c:v>
                </c:pt>
                <c:pt idx="17">
                  <c:v>1</c:v>
                </c:pt>
                <c:pt idx="18">
                  <c:v>1</c:v>
                </c:pt>
                <c:pt idx="19">
                  <c:v>1</c:v>
                </c:pt>
                <c:pt idx="20">
                  <c:v>1</c:v>
                </c:pt>
              </c:numCache>
            </c:numRef>
          </c:yVal>
          <c:smooth val="0"/>
          <c:extLst>
            <c:ext xmlns:c16="http://schemas.microsoft.com/office/drawing/2014/chart" uri="{C3380CC4-5D6E-409C-BE32-E72D297353CC}">
              <c16:uniqueId val="{00000000-423F-4070-B43D-51526B823B24}"/>
            </c:ext>
          </c:extLst>
        </c:ser>
        <c:dLbls>
          <c:showLegendKey val="0"/>
          <c:showVal val="0"/>
          <c:showCatName val="0"/>
          <c:showSerName val="0"/>
          <c:showPercent val="0"/>
          <c:showBubbleSize val="0"/>
        </c:dLbls>
        <c:axId val="791099720"/>
        <c:axId val="791098408"/>
      </c:scatterChart>
      <c:valAx>
        <c:axId val="7910997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098408"/>
        <c:crosses val="autoZero"/>
        <c:crossBetween val="midCat"/>
      </c:valAx>
      <c:valAx>
        <c:axId val="7910984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0997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a=1, b=10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로그함수2!$N$171:$N$191</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로그함수2!$O$171:$O$191</c:f>
              <c:numCache>
                <c:formatCode>General</c:formatCode>
                <c:ptCount val="21"/>
                <c:pt idx="0">
                  <c:v>0.5</c:v>
                </c:pt>
                <c:pt idx="1">
                  <c:v>0.7310585786300049</c:v>
                </c:pt>
                <c:pt idx="2">
                  <c:v>0.88079707797788231</c:v>
                </c:pt>
                <c:pt idx="3">
                  <c:v>0.95257412682243336</c:v>
                </c:pt>
                <c:pt idx="4">
                  <c:v>0.98201379003790845</c:v>
                </c:pt>
                <c:pt idx="5">
                  <c:v>0.99330714907571527</c:v>
                </c:pt>
                <c:pt idx="6">
                  <c:v>0.99752737684336534</c:v>
                </c:pt>
                <c:pt idx="7">
                  <c:v>0.9990889488055994</c:v>
                </c:pt>
                <c:pt idx="8">
                  <c:v>0.99966464986953363</c:v>
                </c:pt>
                <c:pt idx="9">
                  <c:v>0.99987660542401369</c:v>
                </c:pt>
                <c:pt idx="10">
                  <c:v>0.99995460213129761</c:v>
                </c:pt>
                <c:pt idx="11">
                  <c:v>0.99998329857815205</c:v>
                </c:pt>
                <c:pt idx="12">
                  <c:v>0.99999385582539779</c:v>
                </c:pt>
                <c:pt idx="13">
                  <c:v>0.99999773967570205</c:v>
                </c:pt>
                <c:pt idx="14">
                  <c:v>0.99999916847197223</c:v>
                </c:pt>
                <c:pt idx="15">
                  <c:v>0.99999969409777301</c:v>
                </c:pt>
                <c:pt idx="16">
                  <c:v>0.99999988746483792</c:v>
                </c:pt>
                <c:pt idx="17">
                  <c:v>0.99999995860062441</c:v>
                </c:pt>
                <c:pt idx="18">
                  <c:v>0.9999999847700205</c:v>
                </c:pt>
                <c:pt idx="19">
                  <c:v>0.99999999439720355</c:v>
                </c:pt>
                <c:pt idx="20">
                  <c:v>0.99999999793884631</c:v>
                </c:pt>
              </c:numCache>
            </c:numRef>
          </c:yVal>
          <c:smooth val="0"/>
          <c:extLst>
            <c:ext xmlns:c16="http://schemas.microsoft.com/office/drawing/2014/chart" uri="{C3380CC4-5D6E-409C-BE32-E72D297353CC}">
              <c16:uniqueId val="{00000000-89AA-40A1-83B2-2A9ED4853BA0}"/>
            </c:ext>
          </c:extLst>
        </c:ser>
        <c:dLbls>
          <c:showLegendKey val="0"/>
          <c:showVal val="0"/>
          <c:showCatName val="0"/>
          <c:showSerName val="0"/>
          <c:showPercent val="0"/>
          <c:showBubbleSize val="0"/>
        </c:dLbls>
        <c:axId val="792751192"/>
        <c:axId val="792754144"/>
      </c:scatterChart>
      <c:valAx>
        <c:axId val="7927511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2754144"/>
        <c:crosses val="autoZero"/>
        <c:crossBetween val="midCat"/>
      </c:valAx>
      <c:valAx>
        <c:axId val="792754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27511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머신러닝기초!$D$4</c:f>
              <c:strCache>
                <c:ptCount val="1"/>
                <c:pt idx="0">
                  <c:v>몸무게</c:v>
                </c:pt>
              </c:strCache>
            </c:strRef>
          </c:tx>
          <c:spPr>
            <a:ln w="19050" cap="rnd">
              <a:noFill/>
              <a:round/>
            </a:ln>
            <a:effectLst/>
          </c:spPr>
          <c:marker>
            <c:symbol val="circle"/>
            <c:size val="5"/>
            <c:spPr>
              <a:solidFill>
                <a:schemeClr val="accent1"/>
              </a:solidFill>
              <a:ln w="9525">
                <a:solidFill>
                  <a:schemeClr val="accent1"/>
                </a:solidFill>
              </a:ln>
              <a:effectLst/>
            </c:spPr>
          </c:marker>
          <c:xVal>
            <c:numRef>
              <c:f>머신러닝기초!$C$5:$C$9</c:f>
              <c:numCache>
                <c:formatCode>General</c:formatCode>
                <c:ptCount val="5"/>
                <c:pt idx="0">
                  <c:v>170</c:v>
                </c:pt>
                <c:pt idx="1">
                  <c:v>155</c:v>
                </c:pt>
                <c:pt idx="2">
                  <c:v>150</c:v>
                </c:pt>
                <c:pt idx="3">
                  <c:v>175</c:v>
                </c:pt>
                <c:pt idx="4">
                  <c:v>165</c:v>
                </c:pt>
              </c:numCache>
            </c:numRef>
          </c:xVal>
          <c:yVal>
            <c:numRef>
              <c:f>머신러닝기초!$D$5:$D$9</c:f>
              <c:numCache>
                <c:formatCode>General</c:formatCode>
                <c:ptCount val="5"/>
                <c:pt idx="0">
                  <c:v>65</c:v>
                </c:pt>
                <c:pt idx="1">
                  <c:v>50</c:v>
                </c:pt>
                <c:pt idx="2">
                  <c:v>45</c:v>
                </c:pt>
                <c:pt idx="3">
                  <c:v>70</c:v>
                </c:pt>
                <c:pt idx="4">
                  <c:v>55</c:v>
                </c:pt>
              </c:numCache>
            </c:numRef>
          </c:yVal>
          <c:smooth val="0"/>
          <c:extLst>
            <c:ext xmlns:c16="http://schemas.microsoft.com/office/drawing/2014/chart" uri="{C3380CC4-5D6E-409C-BE32-E72D297353CC}">
              <c16:uniqueId val="{00000000-4D4C-4A9E-AAF6-26A50CBCF12B}"/>
            </c:ext>
          </c:extLst>
        </c:ser>
        <c:dLbls>
          <c:showLegendKey val="0"/>
          <c:showVal val="0"/>
          <c:showCatName val="0"/>
          <c:showSerName val="0"/>
          <c:showPercent val="0"/>
          <c:showBubbleSize val="0"/>
        </c:dLbls>
        <c:axId val="478572607"/>
        <c:axId val="478573439"/>
      </c:scatterChart>
      <c:valAx>
        <c:axId val="47857260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78573439"/>
        <c:crosses val="autoZero"/>
        <c:crossBetween val="midCat"/>
      </c:valAx>
      <c:valAx>
        <c:axId val="478573439"/>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7857260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머신러닝기초!$N$38:$N$58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머신러닝기초!$O$38:$O$58</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6556-428E-B2C7-3619AF51F2E1}"/>
            </c:ext>
          </c:extLst>
        </c:ser>
        <c:dLbls>
          <c:showLegendKey val="0"/>
          <c:showVal val="0"/>
          <c:showCatName val="0"/>
          <c:showSerName val="0"/>
          <c:showPercent val="0"/>
          <c:showBubbleSize val="0"/>
        </c:dLbls>
        <c:axId val="170236751"/>
        <c:axId val="170238831"/>
      </c:scatterChart>
      <c:valAx>
        <c:axId val="17023675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70238831"/>
        <c:crosses val="autoZero"/>
        <c:crossBetween val="midCat"/>
      </c:valAx>
      <c:valAx>
        <c:axId val="1702388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7023675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0 &lt; a &lt; 1 </a:t>
            </a:r>
            <a:r>
              <a:rPr lang="ko-KR" altLang="en-US"/>
              <a:t>경우</a:t>
            </a:r>
          </a:p>
        </c:rich>
      </c:tx>
      <c:layout>
        <c:manualLayout>
          <c:xMode val="edge"/>
          <c:yMode val="edge"/>
          <c:x val="0.31573600174978134"/>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지수함수!$D$3:$D$23</c:f>
              <c:numCache>
                <c:formatCode>General</c:formatCode>
                <c:ptCount val="21"/>
                <c:pt idx="0">
                  <c:v>2</c:v>
                </c:pt>
                <c:pt idx="1">
                  <c:v>1.8660659830736148</c:v>
                </c:pt>
                <c:pt idx="2">
                  <c:v>1.7411011265922482</c:v>
                </c:pt>
                <c:pt idx="3">
                  <c:v>1.6245047927124709</c:v>
                </c:pt>
                <c:pt idx="4">
                  <c:v>1.5157165665103982</c:v>
                </c:pt>
                <c:pt idx="5">
                  <c:v>1.4142135623730949</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0.70710678118654757</c:v>
                </c:pt>
                <c:pt idx="16">
                  <c:v>0.6597539553864471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8ADB-41B0-B55A-9D33237CE5AC}"/>
            </c:ext>
          </c:extLst>
        </c:ser>
        <c:dLbls>
          <c:showLegendKey val="0"/>
          <c:showVal val="0"/>
          <c:showCatName val="0"/>
          <c:showSerName val="0"/>
          <c:showPercent val="0"/>
          <c:showBubbleSize val="0"/>
        </c:dLbls>
        <c:axId val="1208164575"/>
        <c:axId val="1208164991"/>
      </c:scatterChart>
      <c:valAx>
        <c:axId val="120816457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8164991"/>
        <c:crosses val="autoZero"/>
        <c:crossBetween val="midCat"/>
      </c:valAx>
      <c:valAx>
        <c:axId val="12081649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8164575"/>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머신러닝기초!$N$62:$N$82</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머신러닝기초!$O$62:$O$82</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EB4B-4268-AA31-1CF56A7CFC20}"/>
            </c:ext>
          </c:extLst>
        </c:ser>
        <c:dLbls>
          <c:showLegendKey val="0"/>
          <c:showVal val="0"/>
          <c:showCatName val="0"/>
          <c:showSerName val="0"/>
          <c:showPercent val="0"/>
          <c:showBubbleSize val="0"/>
        </c:dLbls>
        <c:axId val="312005167"/>
        <c:axId val="312002255"/>
      </c:scatterChart>
      <c:valAx>
        <c:axId val="31200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12002255"/>
        <c:crosses val="autoZero"/>
        <c:crossBetween val="midCat"/>
      </c:valAx>
      <c:valAx>
        <c:axId val="3120022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1200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머신러닝기초!$W$38:$W$58</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val>
          <c:smooth val="0"/>
          <c:extLst>
            <c:ext xmlns:c16="http://schemas.microsoft.com/office/drawing/2014/chart" uri="{C3380CC4-5D6E-409C-BE32-E72D297353CC}">
              <c16:uniqueId val="{00000000-2EDC-4A28-86C2-90E31497B9D3}"/>
            </c:ext>
          </c:extLst>
        </c:ser>
        <c:ser>
          <c:idx val="1"/>
          <c:order val="1"/>
          <c:spPr>
            <a:ln w="28575" cap="rnd">
              <a:solidFill>
                <a:schemeClr val="accent2"/>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머신러닝기초!$X$38:$X$58</c:f>
              <c:numCache>
                <c:formatCode>General</c:formatCode>
                <c:ptCount val="21"/>
                <c:pt idx="0">
                  <c:v>200</c:v>
                </c:pt>
                <c:pt idx="1">
                  <c:v>162</c:v>
                </c:pt>
                <c:pt idx="2">
                  <c:v>128</c:v>
                </c:pt>
                <c:pt idx="3">
                  <c:v>98</c:v>
                </c:pt>
                <c:pt idx="4">
                  <c:v>72</c:v>
                </c:pt>
                <c:pt idx="5">
                  <c:v>50</c:v>
                </c:pt>
                <c:pt idx="6">
                  <c:v>32</c:v>
                </c:pt>
                <c:pt idx="7">
                  <c:v>18</c:v>
                </c:pt>
                <c:pt idx="8">
                  <c:v>8</c:v>
                </c:pt>
                <c:pt idx="9">
                  <c:v>2</c:v>
                </c:pt>
                <c:pt idx="10">
                  <c:v>0</c:v>
                </c:pt>
                <c:pt idx="11">
                  <c:v>2</c:v>
                </c:pt>
                <c:pt idx="12">
                  <c:v>8</c:v>
                </c:pt>
                <c:pt idx="13">
                  <c:v>18</c:v>
                </c:pt>
                <c:pt idx="14">
                  <c:v>32</c:v>
                </c:pt>
                <c:pt idx="15">
                  <c:v>50</c:v>
                </c:pt>
                <c:pt idx="16">
                  <c:v>72</c:v>
                </c:pt>
                <c:pt idx="17">
                  <c:v>98</c:v>
                </c:pt>
                <c:pt idx="18">
                  <c:v>128</c:v>
                </c:pt>
                <c:pt idx="19">
                  <c:v>162</c:v>
                </c:pt>
                <c:pt idx="20">
                  <c:v>200</c:v>
                </c:pt>
              </c:numCache>
            </c:numRef>
          </c:val>
          <c:smooth val="0"/>
          <c:extLst>
            <c:ext xmlns:c16="http://schemas.microsoft.com/office/drawing/2014/chart" uri="{C3380CC4-5D6E-409C-BE32-E72D297353CC}">
              <c16:uniqueId val="{00000001-2EDC-4A28-86C2-90E31497B9D3}"/>
            </c:ext>
          </c:extLst>
        </c:ser>
        <c:ser>
          <c:idx val="2"/>
          <c:order val="2"/>
          <c:spPr>
            <a:ln w="28575" cap="rnd">
              <a:solidFill>
                <a:schemeClr val="accent3"/>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머신러닝기초!$Y$38:$Y$58</c:f>
              <c:numCache>
                <c:formatCode>General</c:formatCode>
                <c:ptCount val="21"/>
                <c:pt idx="0">
                  <c:v>300</c:v>
                </c:pt>
                <c:pt idx="1">
                  <c:v>243</c:v>
                </c:pt>
                <c:pt idx="2">
                  <c:v>192</c:v>
                </c:pt>
                <c:pt idx="3">
                  <c:v>147</c:v>
                </c:pt>
                <c:pt idx="4">
                  <c:v>108</c:v>
                </c:pt>
                <c:pt idx="5">
                  <c:v>75</c:v>
                </c:pt>
                <c:pt idx="6">
                  <c:v>48</c:v>
                </c:pt>
                <c:pt idx="7">
                  <c:v>27</c:v>
                </c:pt>
                <c:pt idx="8">
                  <c:v>12</c:v>
                </c:pt>
                <c:pt idx="9">
                  <c:v>3</c:v>
                </c:pt>
                <c:pt idx="10">
                  <c:v>0</c:v>
                </c:pt>
                <c:pt idx="11">
                  <c:v>3</c:v>
                </c:pt>
                <c:pt idx="12">
                  <c:v>12</c:v>
                </c:pt>
                <c:pt idx="13">
                  <c:v>27</c:v>
                </c:pt>
                <c:pt idx="14">
                  <c:v>48</c:v>
                </c:pt>
                <c:pt idx="15">
                  <c:v>75</c:v>
                </c:pt>
                <c:pt idx="16">
                  <c:v>108</c:v>
                </c:pt>
                <c:pt idx="17">
                  <c:v>147</c:v>
                </c:pt>
                <c:pt idx="18">
                  <c:v>192</c:v>
                </c:pt>
                <c:pt idx="19">
                  <c:v>243</c:v>
                </c:pt>
                <c:pt idx="20">
                  <c:v>300</c:v>
                </c:pt>
              </c:numCache>
            </c:numRef>
          </c:val>
          <c:smooth val="0"/>
          <c:extLst>
            <c:ext xmlns:c16="http://schemas.microsoft.com/office/drawing/2014/chart" uri="{C3380CC4-5D6E-409C-BE32-E72D297353CC}">
              <c16:uniqueId val="{00000002-2EDC-4A28-86C2-90E31497B9D3}"/>
            </c:ext>
          </c:extLst>
        </c:ser>
        <c:dLbls>
          <c:showLegendKey val="0"/>
          <c:showVal val="0"/>
          <c:showCatName val="0"/>
          <c:showSerName val="0"/>
          <c:showPercent val="0"/>
          <c:showBubbleSize val="0"/>
        </c:dLbls>
        <c:smooth val="0"/>
        <c:axId val="412125887"/>
        <c:axId val="412127967"/>
      </c:lineChart>
      <c:catAx>
        <c:axId val="412125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12127967"/>
        <c:crosses val="autoZero"/>
        <c:auto val="1"/>
        <c:lblAlgn val="ctr"/>
        <c:lblOffset val="100"/>
        <c:noMultiLvlLbl val="0"/>
      </c:catAx>
      <c:valAx>
        <c:axId val="4121279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1212588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상관_회귀!$D$1</c:f>
              <c:strCache>
                <c:ptCount val="1"/>
                <c:pt idx="0">
                  <c:v>매출액</c:v>
                </c:pt>
              </c:strCache>
            </c:strRef>
          </c:tx>
          <c:spPr>
            <a:ln w="19050" cap="rnd">
              <a:noFill/>
              <a:round/>
            </a:ln>
            <a:effectLst/>
          </c:spPr>
          <c:marker>
            <c:symbol val="circle"/>
            <c:size val="5"/>
            <c:spPr>
              <a:solidFill>
                <a:schemeClr val="accent1"/>
              </a:solidFill>
              <a:ln w="9525">
                <a:solidFill>
                  <a:schemeClr val="accent1"/>
                </a:solidFill>
              </a:ln>
              <a:effectLst/>
            </c:spPr>
          </c:marker>
          <c:xVal>
            <c:numRef>
              <c:f>상관_회귀!$B$2:$B$16</c:f>
              <c:numCache>
                <c:formatCode>General</c:formatCode>
                <c:ptCount val="15"/>
                <c:pt idx="0">
                  <c:v>13</c:v>
                </c:pt>
                <c:pt idx="1">
                  <c:v>8</c:v>
                </c:pt>
                <c:pt idx="2">
                  <c:v>10</c:v>
                </c:pt>
                <c:pt idx="3">
                  <c:v>15</c:v>
                </c:pt>
                <c:pt idx="4">
                  <c:v>12</c:v>
                </c:pt>
                <c:pt idx="5">
                  <c:v>15</c:v>
                </c:pt>
                <c:pt idx="6">
                  <c:v>14</c:v>
                </c:pt>
                <c:pt idx="7">
                  <c:v>15</c:v>
                </c:pt>
                <c:pt idx="8">
                  <c:v>17</c:v>
                </c:pt>
                <c:pt idx="9">
                  <c:v>19</c:v>
                </c:pt>
                <c:pt idx="10">
                  <c:v>20</c:v>
                </c:pt>
                <c:pt idx="11">
                  <c:v>21</c:v>
                </c:pt>
                <c:pt idx="12">
                  <c:v>22</c:v>
                </c:pt>
                <c:pt idx="13">
                  <c:v>21</c:v>
                </c:pt>
                <c:pt idx="14">
                  <c:v>25</c:v>
                </c:pt>
              </c:numCache>
            </c:numRef>
          </c:xVal>
          <c:yVal>
            <c:numRef>
              <c:f>상관_회귀!$D$2:$D$16</c:f>
              <c:numCache>
                <c:formatCode>General</c:formatCode>
                <c:ptCount val="15"/>
                <c:pt idx="0">
                  <c:v>94</c:v>
                </c:pt>
                <c:pt idx="1">
                  <c:v>70</c:v>
                </c:pt>
                <c:pt idx="2">
                  <c:v>90</c:v>
                </c:pt>
                <c:pt idx="3">
                  <c:v>100</c:v>
                </c:pt>
                <c:pt idx="4">
                  <c:v>95</c:v>
                </c:pt>
                <c:pt idx="5">
                  <c:v>100</c:v>
                </c:pt>
                <c:pt idx="6">
                  <c:v>85</c:v>
                </c:pt>
                <c:pt idx="7">
                  <c:v>95</c:v>
                </c:pt>
                <c:pt idx="8">
                  <c:v>105</c:v>
                </c:pt>
                <c:pt idx="9">
                  <c:v>105</c:v>
                </c:pt>
                <c:pt idx="10">
                  <c:v>110</c:v>
                </c:pt>
                <c:pt idx="11">
                  <c:v>105</c:v>
                </c:pt>
                <c:pt idx="12">
                  <c:v>104</c:v>
                </c:pt>
                <c:pt idx="13">
                  <c:v>105</c:v>
                </c:pt>
                <c:pt idx="14">
                  <c:v>121</c:v>
                </c:pt>
              </c:numCache>
            </c:numRef>
          </c:yVal>
          <c:smooth val="0"/>
          <c:extLst>
            <c:ext xmlns:c16="http://schemas.microsoft.com/office/drawing/2014/chart" uri="{C3380CC4-5D6E-409C-BE32-E72D297353CC}">
              <c16:uniqueId val="{00000000-E356-4685-99F5-022A9C3679A9}"/>
            </c:ext>
          </c:extLst>
        </c:ser>
        <c:dLbls>
          <c:showLegendKey val="0"/>
          <c:showVal val="0"/>
          <c:showCatName val="0"/>
          <c:showSerName val="0"/>
          <c:showPercent val="0"/>
          <c:showBubbleSize val="0"/>
        </c:dLbls>
        <c:axId val="1001417119"/>
        <c:axId val="992236287"/>
      </c:scatterChart>
      <c:valAx>
        <c:axId val="10014171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92236287"/>
        <c:crosses val="autoZero"/>
        <c:crossBetween val="midCat"/>
      </c:valAx>
      <c:valAx>
        <c:axId val="9922362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141711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예측모델!$B$8:$B$11</c:f>
              <c:numCache>
                <c:formatCode>General</c:formatCode>
                <c:ptCount val="4"/>
                <c:pt idx="0">
                  <c:v>2</c:v>
                </c:pt>
                <c:pt idx="1">
                  <c:v>4</c:v>
                </c:pt>
                <c:pt idx="2">
                  <c:v>6</c:v>
                </c:pt>
                <c:pt idx="3">
                  <c:v>8</c:v>
                </c:pt>
              </c:numCache>
            </c:numRef>
          </c:xVal>
          <c:yVal>
            <c:numRef>
              <c:f>예측모델!$D$8:$D$11</c:f>
              <c:numCache>
                <c:formatCode>General</c:formatCode>
                <c:ptCount val="4"/>
                <c:pt idx="0">
                  <c:v>81</c:v>
                </c:pt>
                <c:pt idx="1">
                  <c:v>93</c:v>
                </c:pt>
                <c:pt idx="2">
                  <c:v>91</c:v>
                </c:pt>
                <c:pt idx="3">
                  <c:v>97</c:v>
                </c:pt>
              </c:numCache>
            </c:numRef>
          </c:yVal>
          <c:smooth val="0"/>
          <c:extLst>
            <c:ext xmlns:c16="http://schemas.microsoft.com/office/drawing/2014/chart" uri="{C3380CC4-5D6E-409C-BE32-E72D297353CC}">
              <c16:uniqueId val="{00000000-783E-45FA-A85E-E2BBF2FEF811}"/>
            </c:ext>
          </c:extLst>
        </c:ser>
        <c:dLbls>
          <c:showLegendKey val="0"/>
          <c:showVal val="0"/>
          <c:showCatName val="0"/>
          <c:showSerName val="0"/>
          <c:showPercent val="0"/>
          <c:showBubbleSize val="0"/>
        </c:dLbls>
        <c:axId val="1009007183"/>
        <c:axId val="1009005519"/>
      </c:scatterChart>
      <c:valAx>
        <c:axId val="1009007183"/>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9005519"/>
        <c:crosses val="autoZero"/>
        <c:crossBetween val="midCat"/>
      </c:valAx>
      <c:valAx>
        <c:axId val="1009005519"/>
        <c:scaling>
          <c:orientation val="minMax"/>
          <c:min val="70"/>
        </c:scaling>
        <c:delete val="0"/>
        <c:axPos val="l"/>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9007183"/>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계단함수</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퍼셉트론!$U$4:$U$14</c:f>
              <c:numCache>
                <c:formatCode>General</c:formatCode>
                <c:ptCount val="11"/>
                <c:pt idx="0">
                  <c:v>-5</c:v>
                </c:pt>
                <c:pt idx="1">
                  <c:v>-4</c:v>
                </c:pt>
                <c:pt idx="2">
                  <c:v>-3</c:v>
                </c:pt>
                <c:pt idx="3">
                  <c:v>-2</c:v>
                </c:pt>
                <c:pt idx="4">
                  <c:v>-1</c:v>
                </c:pt>
                <c:pt idx="5">
                  <c:v>0</c:v>
                </c:pt>
                <c:pt idx="6">
                  <c:v>1</c:v>
                </c:pt>
                <c:pt idx="7">
                  <c:v>2</c:v>
                </c:pt>
                <c:pt idx="8">
                  <c:v>3</c:v>
                </c:pt>
                <c:pt idx="9">
                  <c:v>4</c:v>
                </c:pt>
                <c:pt idx="10">
                  <c:v>5</c:v>
                </c:pt>
              </c:numCache>
            </c:numRef>
          </c:xVal>
          <c:yVal>
            <c:numRef>
              <c:f>퍼셉트론!$V$4:$V$14</c:f>
              <c:numCache>
                <c:formatCode>General</c:formatCode>
                <c:ptCount val="11"/>
                <c:pt idx="0">
                  <c:v>-1</c:v>
                </c:pt>
                <c:pt idx="1">
                  <c:v>-1</c:v>
                </c:pt>
                <c:pt idx="2">
                  <c:v>-1</c:v>
                </c:pt>
                <c:pt idx="3">
                  <c:v>-1</c:v>
                </c:pt>
                <c:pt idx="4">
                  <c:v>-1</c:v>
                </c:pt>
                <c:pt idx="5">
                  <c:v>1</c:v>
                </c:pt>
                <c:pt idx="6">
                  <c:v>1</c:v>
                </c:pt>
                <c:pt idx="7">
                  <c:v>1</c:v>
                </c:pt>
                <c:pt idx="8">
                  <c:v>1</c:v>
                </c:pt>
                <c:pt idx="9">
                  <c:v>1</c:v>
                </c:pt>
                <c:pt idx="10">
                  <c:v>1</c:v>
                </c:pt>
              </c:numCache>
            </c:numRef>
          </c:yVal>
          <c:smooth val="0"/>
          <c:extLst>
            <c:ext xmlns:c16="http://schemas.microsoft.com/office/drawing/2014/chart" uri="{C3380CC4-5D6E-409C-BE32-E72D297353CC}">
              <c16:uniqueId val="{00000000-4DF6-4613-8D95-332C2AF87B19}"/>
            </c:ext>
          </c:extLst>
        </c:ser>
        <c:dLbls>
          <c:showLegendKey val="0"/>
          <c:showVal val="0"/>
          <c:showCatName val="0"/>
          <c:showSerName val="0"/>
          <c:showPercent val="0"/>
          <c:showBubbleSize val="0"/>
        </c:dLbls>
        <c:axId val="791103823"/>
        <c:axId val="791104239"/>
      </c:scatterChart>
      <c:valAx>
        <c:axId val="79110382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104239"/>
        <c:crosses val="autoZero"/>
        <c:crossBetween val="midCat"/>
      </c:valAx>
      <c:valAx>
        <c:axId val="7911042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103823"/>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퍼셉트론!$P$4:$P$7</c:f>
              <c:numCache>
                <c:formatCode>General</c:formatCode>
                <c:ptCount val="4"/>
                <c:pt idx="0">
                  <c:v>0</c:v>
                </c:pt>
                <c:pt idx="1">
                  <c:v>0</c:v>
                </c:pt>
                <c:pt idx="2">
                  <c:v>1</c:v>
                </c:pt>
                <c:pt idx="3">
                  <c:v>1</c:v>
                </c:pt>
              </c:numCache>
            </c:numRef>
          </c:xVal>
          <c:yVal>
            <c:numRef>
              <c:f>퍼셉트론!$Q$4:$Q$7</c:f>
              <c:numCache>
                <c:formatCode>General</c:formatCode>
                <c:ptCount val="4"/>
                <c:pt idx="0">
                  <c:v>0</c:v>
                </c:pt>
                <c:pt idx="1">
                  <c:v>1</c:v>
                </c:pt>
                <c:pt idx="2">
                  <c:v>0</c:v>
                </c:pt>
                <c:pt idx="3">
                  <c:v>1</c:v>
                </c:pt>
              </c:numCache>
            </c:numRef>
          </c:yVal>
          <c:smooth val="0"/>
          <c:extLst>
            <c:ext xmlns:c16="http://schemas.microsoft.com/office/drawing/2014/chart" uri="{C3380CC4-5D6E-409C-BE32-E72D297353CC}">
              <c16:uniqueId val="{00000000-0A8A-4B12-A235-019A3640EDF3}"/>
            </c:ext>
          </c:extLst>
        </c:ser>
        <c:dLbls>
          <c:showLegendKey val="0"/>
          <c:showVal val="0"/>
          <c:showCatName val="0"/>
          <c:showSerName val="0"/>
          <c:showPercent val="0"/>
          <c:showBubbleSize val="0"/>
        </c:dLbls>
        <c:axId val="778775279"/>
        <c:axId val="778772367"/>
      </c:scatterChart>
      <c:valAx>
        <c:axId val="7787752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2367"/>
        <c:crosses val="autoZero"/>
        <c:crossBetween val="midCat"/>
      </c:valAx>
      <c:valAx>
        <c:axId val="7787723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527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퍼셉트론!$P$4:$P$7</c:f>
              <c:numCache>
                <c:formatCode>General</c:formatCode>
                <c:ptCount val="4"/>
                <c:pt idx="0">
                  <c:v>0</c:v>
                </c:pt>
                <c:pt idx="1">
                  <c:v>0</c:v>
                </c:pt>
                <c:pt idx="2">
                  <c:v>1</c:v>
                </c:pt>
                <c:pt idx="3">
                  <c:v>1</c:v>
                </c:pt>
              </c:numCache>
            </c:numRef>
          </c:xVal>
          <c:yVal>
            <c:numRef>
              <c:f>퍼셉트론!$Q$4:$Q$7</c:f>
              <c:numCache>
                <c:formatCode>General</c:formatCode>
                <c:ptCount val="4"/>
                <c:pt idx="0">
                  <c:v>0</c:v>
                </c:pt>
                <c:pt idx="1">
                  <c:v>1</c:v>
                </c:pt>
                <c:pt idx="2">
                  <c:v>0</c:v>
                </c:pt>
                <c:pt idx="3">
                  <c:v>1</c:v>
                </c:pt>
              </c:numCache>
            </c:numRef>
          </c:yVal>
          <c:smooth val="0"/>
          <c:extLst>
            <c:ext xmlns:c16="http://schemas.microsoft.com/office/drawing/2014/chart" uri="{C3380CC4-5D6E-409C-BE32-E72D297353CC}">
              <c16:uniqueId val="{00000000-19A4-419A-8E6F-C6371820CC39}"/>
            </c:ext>
          </c:extLst>
        </c:ser>
        <c:dLbls>
          <c:showLegendKey val="0"/>
          <c:showVal val="0"/>
          <c:showCatName val="0"/>
          <c:showSerName val="0"/>
          <c:showPercent val="0"/>
          <c:showBubbleSize val="0"/>
        </c:dLbls>
        <c:axId val="778775279"/>
        <c:axId val="778772367"/>
      </c:scatterChart>
      <c:valAx>
        <c:axId val="7787752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2367"/>
        <c:crosses val="autoZero"/>
        <c:crossBetween val="midCat"/>
      </c:valAx>
      <c:valAx>
        <c:axId val="7787723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527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활성화함수!$B$28:$B$40</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활성화함수!$C$28:$C$40</c:f>
              <c:numCache>
                <c:formatCode>General</c:formatCode>
                <c:ptCount val="13"/>
                <c:pt idx="0">
                  <c:v>-0.99505475368673058</c:v>
                </c:pt>
                <c:pt idx="1">
                  <c:v>-0.98661429815143042</c:v>
                </c:pt>
                <c:pt idx="2">
                  <c:v>-0.96402758007581701</c:v>
                </c:pt>
                <c:pt idx="3">
                  <c:v>-0.9051482536448664</c:v>
                </c:pt>
                <c:pt idx="4">
                  <c:v>-0.76159415595576485</c:v>
                </c:pt>
                <c:pt idx="5">
                  <c:v>-0.46211715726000979</c:v>
                </c:pt>
                <c:pt idx="6">
                  <c:v>0</c:v>
                </c:pt>
                <c:pt idx="7">
                  <c:v>0.46211715726000979</c:v>
                </c:pt>
                <c:pt idx="8">
                  <c:v>0.76159415595576485</c:v>
                </c:pt>
                <c:pt idx="9">
                  <c:v>0.9051482536448664</c:v>
                </c:pt>
                <c:pt idx="10">
                  <c:v>0.96402758007581701</c:v>
                </c:pt>
                <c:pt idx="11">
                  <c:v>0.98661429815143042</c:v>
                </c:pt>
                <c:pt idx="12">
                  <c:v>0.99505475368673058</c:v>
                </c:pt>
              </c:numCache>
            </c:numRef>
          </c:yVal>
          <c:smooth val="0"/>
          <c:extLst>
            <c:ext xmlns:c16="http://schemas.microsoft.com/office/drawing/2014/chart" uri="{C3380CC4-5D6E-409C-BE32-E72D297353CC}">
              <c16:uniqueId val="{00000000-80A3-40BB-A4FF-17429A95FE67}"/>
            </c:ext>
          </c:extLst>
        </c:ser>
        <c:dLbls>
          <c:showLegendKey val="0"/>
          <c:showVal val="0"/>
          <c:showCatName val="0"/>
          <c:showSerName val="0"/>
          <c:showPercent val="0"/>
          <c:showBubbleSize val="0"/>
        </c:dLbls>
        <c:axId val="798124687"/>
        <c:axId val="798123855"/>
      </c:scatterChart>
      <c:valAx>
        <c:axId val="7981246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23855"/>
        <c:crosses val="autoZero"/>
        <c:crossBetween val="midCat"/>
      </c:valAx>
      <c:valAx>
        <c:axId val="798123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2468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활성화함수!$G$45:$G$65</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활성화함수!$H$45:$H$65</c:f>
              <c:numCache>
                <c:formatCode>General</c:formatCode>
                <c:ptCount val="21"/>
                <c:pt idx="0">
                  <c:v>4.5398899216870535E-5</c:v>
                </c:pt>
                <c:pt idx="1">
                  <c:v>1.2340218972333965E-4</c:v>
                </c:pt>
                <c:pt idx="2">
                  <c:v>3.3540637289566238E-4</c:v>
                </c:pt>
                <c:pt idx="3">
                  <c:v>9.1146645377420147E-4</c:v>
                </c:pt>
                <c:pt idx="4">
                  <c:v>2.4756851377303571E-3</c:v>
                </c:pt>
                <c:pt idx="5">
                  <c:v>6.7153484891179669E-3</c:v>
                </c:pt>
                <c:pt idx="6">
                  <c:v>1.8149927917809779E-2</c:v>
                </c:pt>
                <c:pt idx="7">
                  <c:v>4.8587351573741958E-2</c:v>
                </c:pt>
                <c:pt idx="8">
                  <c:v>0.1269280110429726</c:v>
                </c:pt>
                <c:pt idx="9">
                  <c:v>0.31326168751822286</c:v>
                </c:pt>
                <c:pt idx="10">
                  <c:v>0.69314718055994529</c:v>
                </c:pt>
                <c:pt idx="11">
                  <c:v>1.3132616875182228</c:v>
                </c:pt>
                <c:pt idx="12">
                  <c:v>2.1269280110429727</c:v>
                </c:pt>
                <c:pt idx="13">
                  <c:v>3.0485873515737421</c:v>
                </c:pt>
                <c:pt idx="14">
                  <c:v>4.0181499279178094</c:v>
                </c:pt>
                <c:pt idx="15">
                  <c:v>5.0067153484891183</c:v>
                </c:pt>
                <c:pt idx="16">
                  <c:v>6.0024756851377301</c:v>
                </c:pt>
                <c:pt idx="17">
                  <c:v>7.0009114664537737</c:v>
                </c:pt>
                <c:pt idx="18">
                  <c:v>8.000335406372896</c:v>
                </c:pt>
                <c:pt idx="19">
                  <c:v>9.0001234021897236</c:v>
                </c:pt>
                <c:pt idx="20">
                  <c:v>10.000045398899218</c:v>
                </c:pt>
              </c:numCache>
            </c:numRef>
          </c:yVal>
          <c:smooth val="0"/>
          <c:extLst>
            <c:ext xmlns:c16="http://schemas.microsoft.com/office/drawing/2014/chart" uri="{C3380CC4-5D6E-409C-BE32-E72D297353CC}">
              <c16:uniqueId val="{00000000-FCED-40DA-954F-B4738DE4AFE7}"/>
            </c:ext>
          </c:extLst>
        </c:ser>
        <c:dLbls>
          <c:showLegendKey val="0"/>
          <c:showVal val="0"/>
          <c:showCatName val="0"/>
          <c:showSerName val="0"/>
          <c:showPercent val="0"/>
          <c:showBubbleSize val="0"/>
        </c:dLbls>
        <c:axId val="798100559"/>
        <c:axId val="798116783"/>
      </c:scatterChart>
      <c:valAx>
        <c:axId val="79810055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16783"/>
        <c:crosses val="autoZero"/>
        <c:crossBetween val="midCat"/>
      </c:valAx>
      <c:valAx>
        <c:axId val="7981167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0055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활성화함수!$D$125</c:f>
              <c:strCache>
                <c:ptCount val="1"/>
                <c:pt idx="0">
                  <c:v>f(z)</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활성화함수!$B$126:$B$146</c:f>
              <c:numCache>
                <c:formatCode>General</c:formatCode>
                <c:ptCount val="21"/>
                <c:pt idx="0">
                  <c:v>-0.01</c:v>
                </c:pt>
                <c:pt idx="1">
                  <c:v>-8.9999999999999993E-3</c:v>
                </c:pt>
                <c:pt idx="2">
                  <c:v>-8.0000000000000002E-3</c:v>
                </c:pt>
                <c:pt idx="3">
                  <c:v>-7.0000000000000001E-3</c:v>
                </c:pt>
                <c:pt idx="4">
                  <c:v>-6.0000000000000001E-3</c:v>
                </c:pt>
                <c:pt idx="5">
                  <c:v>-5.0000000000000001E-3</c:v>
                </c:pt>
                <c:pt idx="6">
                  <c:v>-3.9999999999999897E-3</c:v>
                </c:pt>
                <c:pt idx="7">
                  <c:v>-2.9999999999999901E-3</c:v>
                </c:pt>
                <c:pt idx="8">
                  <c:v>-1.9999999999999901E-3</c:v>
                </c:pt>
                <c:pt idx="9">
                  <c:v>-9.9999999999999005E-4</c:v>
                </c:pt>
                <c:pt idx="10">
                  <c:v>0</c:v>
                </c:pt>
                <c:pt idx="11">
                  <c:v>9.9999999999999894E-4</c:v>
                </c:pt>
                <c:pt idx="12">
                  <c:v>2E-3</c:v>
                </c:pt>
                <c:pt idx="13">
                  <c:v>3.0000000000000001E-3</c:v>
                </c:pt>
                <c:pt idx="14">
                  <c:v>4.0000000000000001E-3</c:v>
                </c:pt>
                <c:pt idx="15">
                  <c:v>5.0000000000000001E-3</c:v>
                </c:pt>
                <c:pt idx="16">
                  <c:v>6.0000000000000001E-3</c:v>
                </c:pt>
                <c:pt idx="17">
                  <c:v>7.0000000000000001E-3</c:v>
                </c:pt>
                <c:pt idx="18">
                  <c:v>8.0000000000000002E-3</c:v>
                </c:pt>
                <c:pt idx="19">
                  <c:v>8.9999999999999993E-3</c:v>
                </c:pt>
                <c:pt idx="20">
                  <c:v>0.01</c:v>
                </c:pt>
              </c:numCache>
            </c:numRef>
          </c:xVal>
          <c:yVal>
            <c:numRef>
              <c:f>활성화함수!$D$126:$D$146</c:f>
              <c:numCache>
                <c:formatCode>General</c:formatCode>
                <c:ptCount val="21"/>
                <c:pt idx="0">
                  <c:v>-4.0000000000000002E-4</c:v>
                </c:pt>
                <c:pt idx="1">
                  <c:v>-3.5999999999999997E-4</c:v>
                </c:pt>
                <c:pt idx="2">
                  <c:v>-3.2000000000000003E-4</c:v>
                </c:pt>
                <c:pt idx="3">
                  <c:v>-2.8000000000000003E-4</c:v>
                </c:pt>
                <c:pt idx="4">
                  <c:v>-2.4000000000000001E-4</c:v>
                </c:pt>
                <c:pt idx="5">
                  <c:v>-2.0000000000000001E-4</c:v>
                </c:pt>
                <c:pt idx="6">
                  <c:v>-1.5999999999999958E-4</c:v>
                </c:pt>
                <c:pt idx="7">
                  <c:v>-1.1999999999999961E-4</c:v>
                </c:pt>
                <c:pt idx="8">
                  <c:v>-7.99999999999996E-5</c:v>
                </c:pt>
                <c:pt idx="9">
                  <c:v>-3.9999999999999603E-5</c:v>
                </c:pt>
                <c:pt idx="10">
                  <c:v>0</c:v>
                </c:pt>
                <c:pt idx="11">
                  <c:v>9.9999999999999894E-4</c:v>
                </c:pt>
                <c:pt idx="12">
                  <c:v>2E-3</c:v>
                </c:pt>
                <c:pt idx="13">
                  <c:v>3.0000000000000001E-3</c:v>
                </c:pt>
                <c:pt idx="14">
                  <c:v>4.0000000000000001E-3</c:v>
                </c:pt>
                <c:pt idx="15">
                  <c:v>5.0000000000000001E-3</c:v>
                </c:pt>
                <c:pt idx="16">
                  <c:v>6.0000000000000001E-3</c:v>
                </c:pt>
                <c:pt idx="17">
                  <c:v>7.0000000000000001E-3</c:v>
                </c:pt>
                <c:pt idx="18">
                  <c:v>8.0000000000000002E-3</c:v>
                </c:pt>
                <c:pt idx="19">
                  <c:v>8.9999999999999993E-3</c:v>
                </c:pt>
                <c:pt idx="20">
                  <c:v>0.01</c:v>
                </c:pt>
              </c:numCache>
            </c:numRef>
          </c:yVal>
          <c:smooth val="0"/>
          <c:extLst>
            <c:ext xmlns:c16="http://schemas.microsoft.com/office/drawing/2014/chart" uri="{C3380CC4-5D6E-409C-BE32-E72D297353CC}">
              <c16:uniqueId val="{00000000-26A6-401C-9FD1-E507AD007F5A}"/>
            </c:ext>
          </c:extLst>
        </c:ser>
        <c:dLbls>
          <c:showLegendKey val="0"/>
          <c:showVal val="0"/>
          <c:showCatName val="0"/>
          <c:showSerName val="0"/>
          <c:showPercent val="0"/>
          <c:showBubbleSize val="0"/>
        </c:dLbls>
        <c:axId val="757853656"/>
        <c:axId val="757858904"/>
      </c:scatterChart>
      <c:valAx>
        <c:axId val="7578536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858904"/>
        <c:crosses val="autoZero"/>
        <c:crossBetween val="midCat"/>
      </c:valAx>
      <c:valAx>
        <c:axId val="7578589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85365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지수함수!$C$33:$C$53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AB9E-4797-A352-EAC40B925158}"/>
            </c:ext>
          </c:extLst>
        </c:ser>
        <c:dLbls>
          <c:showLegendKey val="0"/>
          <c:showVal val="0"/>
          <c:showCatName val="0"/>
          <c:showSerName val="0"/>
          <c:showPercent val="0"/>
          <c:showBubbleSize val="0"/>
        </c:dLbls>
        <c:axId val="1207675167"/>
        <c:axId val="1207675999"/>
      </c:scatterChart>
      <c:valAx>
        <c:axId val="120767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999"/>
        <c:crosses val="autoZero"/>
        <c:crossBetween val="midCat"/>
      </c:valAx>
      <c:valAx>
        <c:axId val="12076759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활성화함수!$B$3</c:f>
              <c:strCache>
                <c:ptCount val="1"/>
                <c:pt idx="0">
                  <c:v>y</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활성화함수!$A$4:$A$16</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활성화함수!$B$4:$B$16</c:f>
              <c:numCache>
                <c:formatCode>General</c:formatCode>
                <c:ptCount val="13"/>
                <c:pt idx="0">
                  <c:v>0</c:v>
                </c:pt>
                <c:pt idx="1">
                  <c:v>0</c:v>
                </c:pt>
                <c:pt idx="2">
                  <c:v>0</c:v>
                </c:pt>
                <c:pt idx="3">
                  <c:v>0</c:v>
                </c:pt>
                <c:pt idx="4">
                  <c:v>0</c:v>
                </c:pt>
                <c:pt idx="5">
                  <c:v>0</c:v>
                </c:pt>
                <c:pt idx="6">
                  <c:v>0</c:v>
                </c:pt>
                <c:pt idx="7">
                  <c:v>0.5</c:v>
                </c:pt>
                <c:pt idx="8">
                  <c:v>1</c:v>
                </c:pt>
                <c:pt idx="9">
                  <c:v>1.5</c:v>
                </c:pt>
                <c:pt idx="10">
                  <c:v>2</c:v>
                </c:pt>
                <c:pt idx="11">
                  <c:v>2.5</c:v>
                </c:pt>
                <c:pt idx="12">
                  <c:v>3</c:v>
                </c:pt>
              </c:numCache>
            </c:numRef>
          </c:yVal>
          <c:smooth val="0"/>
          <c:extLst>
            <c:ext xmlns:c16="http://schemas.microsoft.com/office/drawing/2014/chart" uri="{C3380CC4-5D6E-409C-BE32-E72D297353CC}">
              <c16:uniqueId val="{00000000-EFC2-4249-91A6-4F916FC803BE}"/>
            </c:ext>
          </c:extLst>
        </c:ser>
        <c:dLbls>
          <c:showLegendKey val="0"/>
          <c:showVal val="0"/>
          <c:showCatName val="0"/>
          <c:showSerName val="0"/>
          <c:showPercent val="0"/>
          <c:showBubbleSize val="0"/>
        </c:dLbls>
        <c:axId val="816533328"/>
        <c:axId val="816531360"/>
      </c:scatterChart>
      <c:valAx>
        <c:axId val="8165333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16531360"/>
        <c:crosses val="autoZero"/>
        <c:crossBetween val="midCat"/>
      </c:valAx>
      <c:valAx>
        <c:axId val="8165313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1653332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lineChart>
        <c:grouping val="standard"/>
        <c:varyColors val="0"/>
        <c:ser>
          <c:idx val="0"/>
          <c:order val="0"/>
          <c:tx>
            <c:strRef>
              <c:f>ARIMA1_암트랙데이터!$B$1</c:f>
              <c:strCache>
                <c:ptCount val="1"/>
                <c:pt idx="0">
                  <c:v>Ridership</c:v>
                </c:pt>
              </c:strCache>
            </c:strRef>
          </c:tx>
          <c:spPr>
            <a:ln w="28575" cap="rnd">
              <a:solidFill>
                <a:schemeClr val="accent1"/>
              </a:solidFill>
              <a:round/>
            </a:ln>
            <a:effectLst/>
          </c:spPr>
          <c:marker>
            <c:symbol val="none"/>
          </c:marker>
          <c:cat>
            <c:strRef>
              <c:f>ARIMA1_암트랙데이터!$A$2:$A$160</c:f>
              <c:strCache>
                <c:ptCount val="159"/>
                <c:pt idx="0">
                  <c:v>01/01/1991</c:v>
                </c:pt>
                <c:pt idx="1">
                  <c:v>01/02/1991</c:v>
                </c:pt>
                <c:pt idx="2">
                  <c:v>01/03/1991</c:v>
                </c:pt>
                <c:pt idx="3">
                  <c:v>01/04/1991</c:v>
                </c:pt>
                <c:pt idx="4">
                  <c:v>01/05/1991</c:v>
                </c:pt>
                <c:pt idx="5">
                  <c:v>01/06/1991</c:v>
                </c:pt>
                <c:pt idx="6">
                  <c:v>01/07/1991</c:v>
                </c:pt>
                <c:pt idx="7">
                  <c:v>01/08/1991</c:v>
                </c:pt>
                <c:pt idx="8">
                  <c:v>01/09/1991</c:v>
                </c:pt>
                <c:pt idx="9">
                  <c:v>01/10/1991</c:v>
                </c:pt>
                <c:pt idx="10">
                  <c:v>01/11/1991</c:v>
                </c:pt>
                <c:pt idx="11">
                  <c:v>01/12/1991</c:v>
                </c:pt>
                <c:pt idx="12">
                  <c:v>01/01/1992</c:v>
                </c:pt>
                <c:pt idx="13">
                  <c:v>01/02/1992</c:v>
                </c:pt>
                <c:pt idx="14">
                  <c:v>01/03/1992</c:v>
                </c:pt>
                <c:pt idx="15">
                  <c:v>01/04/1992</c:v>
                </c:pt>
                <c:pt idx="16">
                  <c:v>01/05/1992</c:v>
                </c:pt>
                <c:pt idx="17">
                  <c:v>01/06/1992</c:v>
                </c:pt>
                <c:pt idx="18">
                  <c:v>01/07/1992</c:v>
                </c:pt>
                <c:pt idx="19">
                  <c:v>01/08/1992</c:v>
                </c:pt>
                <c:pt idx="20">
                  <c:v>01/09/1992</c:v>
                </c:pt>
                <c:pt idx="21">
                  <c:v>01/10/1992</c:v>
                </c:pt>
                <c:pt idx="22">
                  <c:v>01/11/1992</c:v>
                </c:pt>
                <c:pt idx="23">
                  <c:v>01/12/1992</c:v>
                </c:pt>
                <c:pt idx="24">
                  <c:v>01/01/1993</c:v>
                </c:pt>
                <c:pt idx="25">
                  <c:v>01/02/1993</c:v>
                </c:pt>
                <c:pt idx="26">
                  <c:v>01/03/1993</c:v>
                </c:pt>
                <c:pt idx="27">
                  <c:v>01/04/1993</c:v>
                </c:pt>
                <c:pt idx="28">
                  <c:v>01/05/1993</c:v>
                </c:pt>
                <c:pt idx="29">
                  <c:v>01/06/1993</c:v>
                </c:pt>
                <c:pt idx="30">
                  <c:v>01/07/1993</c:v>
                </c:pt>
                <c:pt idx="31">
                  <c:v>01/08/1993</c:v>
                </c:pt>
                <c:pt idx="32">
                  <c:v>01/09/1993</c:v>
                </c:pt>
                <c:pt idx="33">
                  <c:v>01/10/1993</c:v>
                </c:pt>
                <c:pt idx="34">
                  <c:v>01/11/1993</c:v>
                </c:pt>
                <c:pt idx="35">
                  <c:v>01/12/1993</c:v>
                </c:pt>
                <c:pt idx="36">
                  <c:v>01/01/1994</c:v>
                </c:pt>
                <c:pt idx="37">
                  <c:v>01/02/1994</c:v>
                </c:pt>
                <c:pt idx="38">
                  <c:v>01/03/1994</c:v>
                </c:pt>
                <c:pt idx="39">
                  <c:v>01/04/1994</c:v>
                </c:pt>
                <c:pt idx="40">
                  <c:v>01/05/1994</c:v>
                </c:pt>
                <c:pt idx="41">
                  <c:v>01/06/1994</c:v>
                </c:pt>
                <c:pt idx="42">
                  <c:v>01/07/1994</c:v>
                </c:pt>
                <c:pt idx="43">
                  <c:v>01/08/1994</c:v>
                </c:pt>
                <c:pt idx="44">
                  <c:v>01/09/1994</c:v>
                </c:pt>
                <c:pt idx="45">
                  <c:v>01/10/1994</c:v>
                </c:pt>
                <c:pt idx="46">
                  <c:v>01/11/1994</c:v>
                </c:pt>
                <c:pt idx="47">
                  <c:v>01/12/1994</c:v>
                </c:pt>
                <c:pt idx="48">
                  <c:v>01/01/1995</c:v>
                </c:pt>
                <c:pt idx="49">
                  <c:v>01/02/1995</c:v>
                </c:pt>
                <c:pt idx="50">
                  <c:v>01/03/1995</c:v>
                </c:pt>
                <c:pt idx="51">
                  <c:v>01/04/1995</c:v>
                </c:pt>
                <c:pt idx="52">
                  <c:v>01/05/1995</c:v>
                </c:pt>
                <c:pt idx="53">
                  <c:v>01/06/1995</c:v>
                </c:pt>
                <c:pt idx="54">
                  <c:v>01/07/1995</c:v>
                </c:pt>
                <c:pt idx="55">
                  <c:v>01/08/1995</c:v>
                </c:pt>
                <c:pt idx="56">
                  <c:v>01/09/1995</c:v>
                </c:pt>
                <c:pt idx="57">
                  <c:v>01/10/1995</c:v>
                </c:pt>
                <c:pt idx="58">
                  <c:v>01/11/1995</c:v>
                </c:pt>
                <c:pt idx="59">
                  <c:v>01/12/1995</c:v>
                </c:pt>
                <c:pt idx="60">
                  <c:v>01/01/1996</c:v>
                </c:pt>
                <c:pt idx="61">
                  <c:v>01/02/1996</c:v>
                </c:pt>
                <c:pt idx="62">
                  <c:v>01/03/1996</c:v>
                </c:pt>
                <c:pt idx="63">
                  <c:v>01/04/1996</c:v>
                </c:pt>
                <c:pt idx="64">
                  <c:v>01/05/1996</c:v>
                </c:pt>
                <c:pt idx="65">
                  <c:v>01/06/1996</c:v>
                </c:pt>
                <c:pt idx="66">
                  <c:v>01/07/1996</c:v>
                </c:pt>
                <c:pt idx="67">
                  <c:v>01/08/1996</c:v>
                </c:pt>
                <c:pt idx="68">
                  <c:v>01/09/1996</c:v>
                </c:pt>
                <c:pt idx="69">
                  <c:v>01/10/1996</c:v>
                </c:pt>
                <c:pt idx="70">
                  <c:v>01/11/1996</c:v>
                </c:pt>
                <c:pt idx="71">
                  <c:v>01/12/1996</c:v>
                </c:pt>
                <c:pt idx="72">
                  <c:v>01/01/1997</c:v>
                </c:pt>
                <c:pt idx="73">
                  <c:v>01/02/1997</c:v>
                </c:pt>
                <c:pt idx="74">
                  <c:v>01/03/1997</c:v>
                </c:pt>
                <c:pt idx="75">
                  <c:v>01/04/1997</c:v>
                </c:pt>
                <c:pt idx="76">
                  <c:v>01/05/1997</c:v>
                </c:pt>
                <c:pt idx="77">
                  <c:v>01/06/1997</c:v>
                </c:pt>
                <c:pt idx="78">
                  <c:v>01/07/1997</c:v>
                </c:pt>
                <c:pt idx="79">
                  <c:v>01/08/1997</c:v>
                </c:pt>
                <c:pt idx="80">
                  <c:v>01/09/1997</c:v>
                </c:pt>
                <c:pt idx="81">
                  <c:v>01/10/1997</c:v>
                </c:pt>
                <c:pt idx="82">
                  <c:v>01/11/1997</c:v>
                </c:pt>
                <c:pt idx="83">
                  <c:v>01/12/1997</c:v>
                </c:pt>
                <c:pt idx="84">
                  <c:v>01/01/1998</c:v>
                </c:pt>
                <c:pt idx="85">
                  <c:v>01/02/1998</c:v>
                </c:pt>
                <c:pt idx="86">
                  <c:v>01/03/1998</c:v>
                </c:pt>
                <c:pt idx="87">
                  <c:v>01/04/1998</c:v>
                </c:pt>
                <c:pt idx="88">
                  <c:v>01/05/1998</c:v>
                </c:pt>
                <c:pt idx="89">
                  <c:v>01/06/1998</c:v>
                </c:pt>
                <c:pt idx="90">
                  <c:v>01/07/1998</c:v>
                </c:pt>
                <c:pt idx="91">
                  <c:v>01/08/1998</c:v>
                </c:pt>
                <c:pt idx="92">
                  <c:v>01/09/1998</c:v>
                </c:pt>
                <c:pt idx="93">
                  <c:v>01/10/1998</c:v>
                </c:pt>
                <c:pt idx="94">
                  <c:v>01/11/1998</c:v>
                </c:pt>
                <c:pt idx="95">
                  <c:v>01/12/1998</c:v>
                </c:pt>
                <c:pt idx="96">
                  <c:v>01/01/1999</c:v>
                </c:pt>
                <c:pt idx="97">
                  <c:v>01/02/1999</c:v>
                </c:pt>
                <c:pt idx="98">
                  <c:v>01/03/1999</c:v>
                </c:pt>
                <c:pt idx="99">
                  <c:v>01/04/1999</c:v>
                </c:pt>
                <c:pt idx="100">
                  <c:v>01/05/1999</c:v>
                </c:pt>
                <c:pt idx="101">
                  <c:v>01/06/1999</c:v>
                </c:pt>
                <c:pt idx="102">
                  <c:v>01/07/1999</c:v>
                </c:pt>
                <c:pt idx="103">
                  <c:v>01/08/1999</c:v>
                </c:pt>
                <c:pt idx="104">
                  <c:v>01/09/1999</c:v>
                </c:pt>
                <c:pt idx="105">
                  <c:v>01/10/1999</c:v>
                </c:pt>
                <c:pt idx="106">
                  <c:v>01/11/1999</c:v>
                </c:pt>
                <c:pt idx="107">
                  <c:v>01/12/1999</c:v>
                </c:pt>
                <c:pt idx="108">
                  <c:v>01/01/2000</c:v>
                </c:pt>
                <c:pt idx="109">
                  <c:v>01/02/2000</c:v>
                </c:pt>
                <c:pt idx="110">
                  <c:v>01/03/2000</c:v>
                </c:pt>
                <c:pt idx="111">
                  <c:v>01/04/2000</c:v>
                </c:pt>
                <c:pt idx="112">
                  <c:v>01/05/2000</c:v>
                </c:pt>
                <c:pt idx="113">
                  <c:v>01/06/2000</c:v>
                </c:pt>
                <c:pt idx="114">
                  <c:v>01/07/2000</c:v>
                </c:pt>
                <c:pt idx="115">
                  <c:v>01/08/2000</c:v>
                </c:pt>
                <c:pt idx="116">
                  <c:v>01/09/2000</c:v>
                </c:pt>
                <c:pt idx="117">
                  <c:v>01/10/2000</c:v>
                </c:pt>
                <c:pt idx="118">
                  <c:v>01/11/2000</c:v>
                </c:pt>
                <c:pt idx="119">
                  <c:v>01/12/2000</c:v>
                </c:pt>
                <c:pt idx="120">
                  <c:v>01/01/2001</c:v>
                </c:pt>
                <c:pt idx="121">
                  <c:v>01/02/2001</c:v>
                </c:pt>
                <c:pt idx="122">
                  <c:v>01/03/2001</c:v>
                </c:pt>
                <c:pt idx="123">
                  <c:v>01/04/2001</c:v>
                </c:pt>
                <c:pt idx="124">
                  <c:v>01/05/2001</c:v>
                </c:pt>
                <c:pt idx="125">
                  <c:v>01/06/2001</c:v>
                </c:pt>
                <c:pt idx="126">
                  <c:v>01/07/2001</c:v>
                </c:pt>
                <c:pt idx="127">
                  <c:v>01/08/2001</c:v>
                </c:pt>
                <c:pt idx="128">
                  <c:v>01/09/2001</c:v>
                </c:pt>
                <c:pt idx="129">
                  <c:v>01/10/2001</c:v>
                </c:pt>
                <c:pt idx="130">
                  <c:v>01/11/2001</c:v>
                </c:pt>
                <c:pt idx="131">
                  <c:v>01/12/2001</c:v>
                </c:pt>
                <c:pt idx="132">
                  <c:v>01/01/2002</c:v>
                </c:pt>
                <c:pt idx="133">
                  <c:v>01/02/2002</c:v>
                </c:pt>
                <c:pt idx="134">
                  <c:v>01/03/2002</c:v>
                </c:pt>
                <c:pt idx="135">
                  <c:v>01/04/2002</c:v>
                </c:pt>
                <c:pt idx="136">
                  <c:v>01/05/2002</c:v>
                </c:pt>
                <c:pt idx="137">
                  <c:v>01/06/2002</c:v>
                </c:pt>
                <c:pt idx="138">
                  <c:v>01/07/2002</c:v>
                </c:pt>
                <c:pt idx="139">
                  <c:v>01/08/2002</c:v>
                </c:pt>
                <c:pt idx="140">
                  <c:v>01/09/2002</c:v>
                </c:pt>
                <c:pt idx="141">
                  <c:v>01/10/2002</c:v>
                </c:pt>
                <c:pt idx="142">
                  <c:v>01/11/2002</c:v>
                </c:pt>
                <c:pt idx="143">
                  <c:v>01/12/2002</c:v>
                </c:pt>
                <c:pt idx="144">
                  <c:v>01/01/2003</c:v>
                </c:pt>
                <c:pt idx="145">
                  <c:v>01/02/2003</c:v>
                </c:pt>
                <c:pt idx="146">
                  <c:v>01/03/2003</c:v>
                </c:pt>
                <c:pt idx="147">
                  <c:v>01/04/2003</c:v>
                </c:pt>
                <c:pt idx="148">
                  <c:v>01/05/2003</c:v>
                </c:pt>
                <c:pt idx="149">
                  <c:v>01/06/2003</c:v>
                </c:pt>
                <c:pt idx="150">
                  <c:v>01/07/2003</c:v>
                </c:pt>
                <c:pt idx="151">
                  <c:v>01/08/2003</c:v>
                </c:pt>
                <c:pt idx="152">
                  <c:v>01/09/2003</c:v>
                </c:pt>
                <c:pt idx="153">
                  <c:v>01/10/2003</c:v>
                </c:pt>
                <c:pt idx="154">
                  <c:v>01/11/2003</c:v>
                </c:pt>
                <c:pt idx="155">
                  <c:v>01/12/2003</c:v>
                </c:pt>
                <c:pt idx="156">
                  <c:v>01/01/2004</c:v>
                </c:pt>
                <c:pt idx="157">
                  <c:v>01/02/2004</c:v>
                </c:pt>
                <c:pt idx="158">
                  <c:v>01/03/2004</c:v>
                </c:pt>
              </c:strCache>
            </c:strRef>
          </c:cat>
          <c:val>
            <c:numRef>
              <c:f>ARIMA1_암트랙데이터!$B$2:$B$160</c:f>
              <c:numCache>
                <c:formatCode>0</c:formatCode>
                <c:ptCount val="159"/>
                <c:pt idx="0">
                  <c:v>1708.9169999999999</c:v>
                </c:pt>
                <c:pt idx="1">
                  <c:v>1620.586</c:v>
                </c:pt>
                <c:pt idx="2">
                  <c:v>1972.7149999999999</c:v>
                </c:pt>
                <c:pt idx="3">
                  <c:v>1811.665</c:v>
                </c:pt>
                <c:pt idx="4">
                  <c:v>1974.9639999999999</c:v>
                </c:pt>
                <c:pt idx="5">
                  <c:v>1862.356</c:v>
                </c:pt>
                <c:pt idx="6">
                  <c:v>1939.86</c:v>
                </c:pt>
                <c:pt idx="7">
                  <c:v>2013.2639999999999</c:v>
                </c:pt>
                <c:pt idx="8">
                  <c:v>1595.6569999999999</c:v>
                </c:pt>
                <c:pt idx="9">
                  <c:v>1724.924</c:v>
                </c:pt>
                <c:pt idx="10">
                  <c:v>1675.6669999999999</c:v>
                </c:pt>
                <c:pt idx="11">
                  <c:v>1813.8630000000001</c:v>
                </c:pt>
                <c:pt idx="12">
                  <c:v>1614.827</c:v>
                </c:pt>
                <c:pt idx="13">
                  <c:v>1557.088</c:v>
                </c:pt>
                <c:pt idx="14">
                  <c:v>1891.223</c:v>
                </c:pt>
                <c:pt idx="15">
                  <c:v>1955.981</c:v>
                </c:pt>
                <c:pt idx="16">
                  <c:v>1884.7139999999999</c:v>
                </c:pt>
                <c:pt idx="17">
                  <c:v>1623.0419999999999</c:v>
                </c:pt>
                <c:pt idx="18">
                  <c:v>1903.309</c:v>
                </c:pt>
                <c:pt idx="19">
                  <c:v>1996.712</c:v>
                </c:pt>
                <c:pt idx="20">
                  <c:v>1703.8969999999999</c:v>
                </c:pt>
                <c:pt idx="21">
                  <c:v>1810</c:v>
                </c:pt>
                <c:pt idx="22">
                  <c:v>1861.6010000000001</c:v>
                </c:pt>
                <c:pt idx="23">
                  <c:v>1875.1220000000001</c:v>
                </c:pt>
                <c:pt idx="24">
                  <c:v>1705.259</c:v>
                </c:pt>
                <c:pt idx="25">
                  <c:v>1618.5350000000001</c:v>
                </c:pt>
                <c:pt idx="26">
                  <c:v>1836.7090000000001</c:v>
                </c:pt>
                <c:pt idx="27">
                  <c:v>1957.0429999999999</c:v>
                </c:pt>
                <c:pt idx="28">
                  <c:v>1917.1849999999999</c:v>
                </c:pt>
                <c:pt idx="29">
                  <c:v>1882.3979999999999</c:v>
                </c:pt>
                <c:pt idx="30">
                  <c:v>1933.009</c:v>
                </c:pt>
                <c:pt idx="31">
                  <c:v>1996.1669999999999</c:v>
                </c:pt>
                <c:pt idx="32">
                  <c:v>1672.8409999999999</c:v>
                </c:pt>
                <c:pt idx="33">
                  <c:v>1752.827</c:v>
                </c:pt>
                <c:pt idx="34">
                  <c:v>1720.377</c:v>
                </c:pt>
                <c:pt idx="35">
                  <c:v>1734.2919999999999</c:v>
                </c:pt>
                <c:pt idx="36">
                  <c:v>1563.365</c:v>
                </c:pt>
                <c:pt idx="37">
                  <c:v>1573.9590000000001</c:v>
                </c:pt>
                <c:pt idx="38">
                  <c:v>1902.6389999999999</c:v>
                </c:pt>
                <c:pt idx="39">
                  <c:v>1833.8879999999999</c:v>
                </c:pt>
                <c:pt idx="40">
                  <c:v>1831.049</c:v>
                </c:pt>
                <c:pt idx="41">
                  <c:v>1775.7550000000001</c:v>
                </c:pt>
                <c:pt idx="42">
                  <c:v>1867.508</c:v>
                </c:pt>
                <c:pt idx="43">
                  <c:v>1906.6079999999999</c:v>
                </c:pt>
                <c:pt idx="44">
                  <c:v>1685.6320000000001</c:v>
                </c:pt>
                <c:pt idx="45">
                  <c:v>1778.546</c:v>
                </c:pt>
                <c:pt idx="46">
                  <c:v>1775.9949999999999</c:v>
                </c:pt>
                <c:pt idx="47">
                  <c:v>1783.35</c:v>
                </c:pt>
                <c:pt idx="48">
                  <c:v>1548.415</c:v>
                </c:pt>
                <c:pt idx="49">
                  <c:v>1496.925</c:v>
                </c:pt>
                <c:pt idx="50">
                  <c:v>1798.316</c:v>
                </c:pt>
                <c:pt idx="51">
                  <c:v>1732.895</c:v>
                </c:pt>
                <c:pt idx="52">
                  <c:v>1772.345</c:v>
                </c:pt>
                <c:pt idx="53">
                  <c:v>1761.2070000000001</c:v>
                </c:pt>
                <c:pt idx="54">
                  <c:v>1791.655</c:v>
                </c:pt>
                <c:pt idx="55">
                  <c:v>1874.82</c:v>
                </c:pt>
                <c:pt idx="56">
                  <c:v>1571.309</c:v>
                </c:pt>
                <c:pt idx="57">
                  <c:v>1646.9480000000001</c:v>
                </c:pt>
                <c:pt idx="58">
                  <c:v>1672.6310000000001</c:v>
                </c:pt>
                <c:pt idx="59">
                  <c:v>1656.845</c:v>
                </c:pt>
                <c:pt idx="60">
                  <c:v>1381.758</c:v>
                </c:pt>
                <c:pt idx="61">
                  <c:v>1360.8520000000001</c:v>
                </c:pt>
                <c:pt idx="62">
                  <c:v>1558.575</c:v>
                </c:pt>
                <c:pt idx="63">
                  <c:v>1608.42</c:v>
                </c:pt>
                <c:pt idx="64">
                  <c:v>1696.6959999999999</c:v>
                </c:pt>
                <c:pt idx="65">
                  <c:v>1693.183</c:v>
                </c:pt>
                <c:pt idx="66">
                  <c:v>1835.5160000000001</c:v>
                </c:pt>
                <c:pt idx="67">
                  <c:v>1942.5730000000001</c:v>
                </c:pt>
                <c:pt idx="68">
                  <c:v>1551.4010000000001</c:v>
                </c:pt>
                <c:pt idx="69">
                  <c:v>1686.508</c:v>
                </c:pt>
                <c:pt idx="70">
                  <c:v>1576.204</c:v>
                </c:pt>
                <c:pt idx="71">
                  <c:v>1700.433</c:v>
                </c:pt>
                <c:pt idx="72">
                  <c:v>1396.588</c:v>
                </c:pt>
                <c:pt idx="73">
                  <c:v>1371.69</c:v>
                </c:pt>
                <c:pt idx="74">
                  <c:v>1707.5219999999999</c:v>
                </c:pt>
                <c:pt idx="75">
                  <c:v>1654.604</c:v>
                </c:pt>
                <c:pt idx="76">
                  <c:v>1762.903</c:v>
                </c:pt>
                <c:pt idx="77">
                  <c:v>1775.8</c:v>
                </c:pt>
                <c:pt idx="78">
                  <c:v>1934.2190000000001</c:v>
                </c:pt>
                <c:pt idx="79">
                  <c:v>2008.0550000000001</c:v>
                </c:pt>
                <c:pt idx="80">
                  <c:v>1615.924</c:v>
                </c:pt>
                <c:pt idx="81">
                  <c:v>1773.91</c:v>
                </c:pt>
                <c:pt idx="82">
                  <c:v>1732.3679999999999</c:v>
                </c:pt>
                <c:pt idx="83">
                  <c:v>1796.626</c:v>
                </c:pt>
                <c:pt idx="84">
                  <c:v>1570.33</c:v>
                </c:pt>
                <c:pt idx="85">
                  <c:v>1412.691</c:v>
                </c:pt>
                <c:pt idx="86">
                  <c:v>1754.6410000000001</c:v>
                </c:pt>
                <c:pt idx="87">
                  <c:v>1824.932</c:v>
                </c:pt>
                <c:pt idx="88">
                  <c:v>1843.289</c:v>
                </c:pt>
                <c:pt idx="89">
                  <c:v>1825.9639999999999</c:v>
                </c:pt>
                <c:pt idx="90">
                  <c:v>1968.172</c:v>
                </c:pt>
                <c:pt idx="91">
                  <c:v>1921.645</c:v>
                </c:pt>
                <c:pt idx="92">
                  <c:v>1669.597</c:v>
                </c:pt>
                <c:pt idx="93">
                  <c:v>1791.4739999999999</c:v>
                </c:pt>
                <c:pt idx="94">
                  <c:v>1816.7139999999999</c:v>
                </c:pt>
                <c:pt idx="95">
                  <c:v>1846.7539999999999</c:v>
                </c:pt>
                <c:pt idx="96">
                  <c:v>1599.4269999999999</c:v>
                </c:pt>
                <c:pt idx="97">
                  <c:v>1548.8040000000001</c:v>
                </c:pt>
                <c:pt idx="98">
                  <c:v>1832.3330000000001</c:v>
                </c:pt>
                <c:pt idx="99">
                  <c:v>1839.72</c:v>
                </c:pt>
                <c:pt idx="100">
                  <c:v>1846.498</c:v>
                </c:pt>
                <c:pt idx="101">
                  <c:v>1864.8520000000001</c:v>
                </c:pt>
                <c:pt idx="102">
                  <c:v>1965.7429999999999</c:v>
                </c:pt>
                <c:pt idx="103">
                  <c:v>1949.002</c:v>
                </c:pt>
                <c:pt idx="104">
                  <c:v>1607.373</c:v>
                </c:pt>
                <c:pt idx="105">
                  <c:v>1803.664</c:v>
                </c:pt>
                <c:pt idx="106">
                  <c:v>1850.309</c:v>
                </c:pt>
                <c:pt idx="107">
                  <c:v>1836.4349999999999</c:v>
                </c:pt>
                <c:pt idx="108">
                  <c:v>1541.66</c:v>
                </c:pt>
                <c:pt idx="109">
                  <c:v>1616.9280000000001</c:v>
                </c:pt>
                <c:pt idx="110">
                  <c:v>1919.538</c:v>
                </c:pt>
                <c:pt idx="111">
                  <c:v>1971.4929999999999</c:v>
                </c:pt>
                <c:pt idx="112">
                  <c:v>1992.3009999999999</c:v>
                </c:pt>
                <c:pt idx="113">
                  <c:v>2009.7629999999999</c:v>
                </c:pt>
                <c:pt idx="114">
                  <c:v>2053.9960000000001</c:v>
                </c:pt>
                <c:pt idx="115">
                  <c:v>2097.471</c:v>
                </c:pt>
                <c:pt idx="116">
                  <c:v>1823.7059999999999</c:v>
                </c:pt>
                <c:pt idx="117">
                  <c:v>1976.9970000000001</c:v>
                </c:pt>
                <c:pt idx="118">
                  <c:v>1981.4079999999999</c:v>
                </c:pt>
                <c:pt idx="119">
                  <c:v>2000.153</c:v>
                </c:pt>
                <c:pt idx="120">
                  <c:v>1683.1479999999999</c:v>
                </c:pt>
                <c:pt idx="121">
                  <c:v>1663.404</c:v>
                </c:pt>
                <c:pt idx="122">
                  <c:v>2007.9280000000001</c:v>
                </c:pt>
                <c:pt idx="123">
                  <c:v>2023.7919999999999</c:v>
                </c:pt>
                <c:pt idx="124">
                  <c:v>2047.008</c:v>
                </c:pt>
                <c:pt idx="125">
                  <c:v>2072.913</c:v>
                </c:pt>
                <c:pt idx="126">
                  <c:v>2126.7170000000001</c:v>
                </c:pt>
                <c:pt idx="127">
                  <c:v>2202.6379999999999</c:v>
                </c:pt>
                <c:pt idx="128">
                  <c:v>1707.693</c:v>
                </c:pt>
                <c:pt idx="129">
                  <c:v>1950.7159999999999</c:v>
                </c:pt>
                <c:pt idx="130">
                  <c:v>1973.614</c:v>
                </c:pt>
                <c:pt idx="131">
                  <c:v>1984.729</c:v>
                </c:pt>
                <c:pt idx="132">
                  <c:v>1759.6289999999999</c:v>
                </c:pt>
                <c:pt idx="133">
                  <c:v>1770.595</c:v>
                </c:pt>
                <c:pt idx="134">
                  <c:v>2019.912</c:v>
                </c:pt>
                <c:pt idx="135">
                  <c:v>2048.3980000000001</c:v>
                </c:pt>
                <c:pt idx="136">
                  <c:v>2068.7629999999999</c:v>
                </c:pt>
                <c:pt idx="137">
                  <c:v>1994.2670000000001</c:v>
                </c:pt>
                <c:pt idx="138">
                  <c:v>2075.2579999999998</c:v>
                </c:pt>
                <c:pt idx="139">
                  <c:v>2026.56</c:v>
                </c:pt>
                <c:pt idx="140">
                  <c:v>1734.155</c:v>
                </c:pt>
                <c:pt idx="141">
                  <c:v>1916.771</c:v>
                </c:pt>
                <c:pt idx="142">
                  <c:v>1858.345</c:v>
                </c:pt>
                <c:pt idx="143">
                  <c:v>1996.3520000000001</c:v>
                </c:pt>
                <c:pt idx="144">
                  <c:v>1778.0329999999999</c:v>
                </c:pt>
                <c:pt idx="145">
                  <c:v>1749.489</c:v>
                </c:pt>
                <c:pt idx="146">
                  <c:v>2066.4659999999999</c:v>
                </c:pt>
                <c:pt idx="147">
                  <c:v>2098.8989999999999</c:v>
                </c:pt>
                <c:pt idx="148">
                  <c:v>2104.9110000000001</c:v>
                </c:pt>
                <c:pt idx="149">
                  <c:v>2129.6709999999998</c:v>
                </c:pt>
                <c:pt idx="150">
                  <c:v>2223.3490000000002</c:v>
                </c:pt>
                <c:pt idx="151">
                  <c:v>2174.36</c:v>
                </c:pt>
                <c:pt idx="152">
                  <c:v>1931.4059999999999</c:v>
                </c:pt>
                <c:pt idx="153">
                  <c:v>2121.4699999999998</c:v>
                </c:pt>
                <c:pt idx="154">
                  <c:v>2076.0540000000001</c:v>
                </c:pt>
                <c:pt idx="155">
                  <c:v>2140.6770000000001</c:v>
                </c:pt>
                <c:pt idx="156">
                  <c:v>1831.508</c:v>
                </c:pt>
                <c:pt idx="157">
                  <c:v>1838.0060000000001</c:v>
                </c:pt>
                <c:pt idx="158">
                  <c:v>2132.4459999999999</c:v>
                </c:pt>
              </c:numCache>
            </c:numRef>
          </c:val>
          <c:smooth val="0"/>
          <c:extLst>
            <c:ext xmlns:c16="http://schemas.microsoft.com/office/drawing/2014/chart" uri="{C3380CC4-5D6E-409C-BE32-E72D297353CC}">
              <c16:uniqueId val="{00000000-FC9C-46C9-A948-6144C143E898}"/>
            </c:ext>
          </c:extLst>
        </c:ser>
        <c:dLbls>
          <c:showLegendKey val="0"/>
          <c:showVal val="0"/>
          <c:showCatName val="0"/>
          <c:showSerName val="0"/>
          <c:showPercent val="0"/>
          <c:showBubbleSize val="0"/>
        </c:dLbls>
        <c:smooth val="0"/>
        <c:axId val="802588792"/>
        <c:axId val="802593384"/>
      </c:lineChart>
      <c:catAx>
        <c:axId val="8025887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2593384"/>
        <c:crosses val="autoZero"/>
        <c:auto val="1"/>
        <c:lblAlgn val="ctr"/>
        <c:lblOffset val="100"/>
        <c:noMultiLvlLbl val="0"/>
      </c:catAx>
      <c:valAx>
        <c:axId val="80259338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258879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chemeClr val="accent1"/>
            </a:solidFill>
            <a:ln>
              <a:noFill/>
            </a:ln>
            <a:effectLst/>
          </c:spPr>
          <c:invertIfNegative val="0"/>
          <c:cat>
            <c:numRef>
              <c:f>ARIMA1_암트랙데이터12지연까지확대!$B$29:$N$29</c:f>
              <c:numCache>
                <c:formatCode>General</c:formatCode>
                <c:ptCount val="13"/>
                <c:pt idx="0">
                  <c:v>0</c:v>
                </c:pt>
                <c:pt idx="1">
                  <c:v>1</c:v>
                </c:pt>
                <c:pt idx="2">
                  <c:v>2</c:v>
                </c:pt>
                <c:pt idx="3">
                  <c:v>3</c:v>
                </c:pt>
                <c:pt idx="4">
                  <c:v>4</c:v>
                </c:pt>
                <c:pt idx="5">
                  <c:v>5</c:v>
                </c:pt>
                <c:pt idx="6">
                  <c:v>6</c:v>
                </c:pt>
                <c:pt idx="7">
                  <c:v>7</c:v>
                </c:pt>
                <c:pt idx="8">
                  <c:v>8</c:v>
                </c:pt>
                <c:pt idx="9">
                  <c:v>9</c:v>
                </c:pt>
                <c:pt idx="10">
                  <c:v>10</c:v>
                </c:pt>
                <c:pt idx="11">
                  <c:v>11</c:v>
                </c:pt>
                <c:pt idx="12">
                  <c:v>12</c:v>
                </c:pt>
              </c:numCache>
            </c:numRef>
          </c:cat>
          <c:val>
            <c:numRef>
              <c:f>ARIMA1_암트랙데이터12지연까지확대!$B$30:$N$30</c:f>
              <c:numCache>
                <c:formatCode>0.000</c:formatCode>
                <c:ptCount val="13"/>
                <c:pt idx="0" formatCode="General">
                  <c:v>1</c:v>
                </c:pt>
                <c:pt idx="1">
                  <c:v>6.4039369999066217E-2</c:v>
                </c:pt>
                <c:pt idx="2">
                  <c:v>-0.16058848351814584</c:v>
                </c:pt>
                <c:pt idx="3">
                  <c:v>-3.0010351355066801E-3</c:v>
                </c:pt>
                <c:pt idx="4">
                  <c:v>0.18415042688245639</c:v>
                </c:pt>
                <c:pt idx="5">
                  <c:v>-9.9376984852891995E-2</c:v>
                </c:pt>
                <c:pt idx="6">
                  <c:v>-0.82738250423982462</c:v>
                </c:pt>
                <c:pt idx="7">
                  <c:v>-4.5143982779476961E-2</c:v>
                </c:pt>
                <c:pt idx="8">
                  <c:v>6.1538254360682255E-2</c:v>
                </c:pt>
                <c:pt idx="9">
                  <c:v>3.1027787362780605E-2</c:v>
                </c:pt>
                <c:pt idx="10">
                  <c:v>-0.30950304506006698</c:v>
                </c:pt>
                <c:pt idx="11">
                  <c:v>-1.2300391055373325E-2</c:v>
                </c:pt>
                <c:pt idx="12">
                  <c:v>0.66135101424993936</c:v>
                </c:pt>
              </c:numCache>
            </c:numRef>
          </c:val>
          <c:extLst>
            <c:ext xmlns:c16="http://schemas.microsoft.com/office/drawing/2014/chart" uri="{C3380CC4-5D6E-409C-BE32-E72D297353CC}">
              <c16:uniqueId val="{00000000-19A2-4F2A-A437-B9351F539A71}"/>
            </c:ext>
          </c:extLst>
        </c:ser>
        <c:dLbls>
          <c:showLegendKey val="0"/>
          <c:showVal val="0"/>
          <c:showCatName val="0"/>
          <c:showSerName val="0"/>
          <c:showPercent val="0"/>
          <c:showBubbleSize val="0"/>
        </c:dLbls>
        <c:gapWidth val="219"/>
        <c:overlap val="-27"/>
        <c:axId val="738603720"/>
        <c:axId val="620068728"/>
      </c:barChart>
      <c:catAx>
        <c:axId val="738603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20068728"/>
        <c:crosses val="autoZero"/>
        <c:auto val="1"/>
        <c:lblAlgn val="ctr"/>
        <c:lblOffset val="100"/>
        <c:noMultiLvlLbl val="0"/>
      </c:catAx>
      <c:valAx>
        <c:axId val="6200687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3860372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chemeClr val="accent1"/>
            </a:solidFill>
            <a:ln>
              <a:noFill/>
            </a:ln>
            <a:effectLst/>
          </c:spPr>
          <c:invertIfNegative val="0"/>
          <c:cat>
            <c:numRef>
              <c:f>ARIMA1_암트랙데이터12지연까지확대!$B$29:$Z$29</c:f>
              <c:numCache>
                <c:formatCode>General</c:formatCode>
                <c:ptCount val="25"/>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pt idx="24">
                  <c:v>24</c:v>
                </c:pt>
              </c:numCache>
            </c:numRef>
          </c:cat>
          <c:val>
            <c:numRef>
              <c:f>ARIMA1_암트랙데이터12지연까지확대!$B$30:$Z$30</c:f>
              <c:numCache>
                <c:formatCode>0.000</c:formatCode>
                <c:ptCount val="25"/>
                <c:pt idx="0" formatCode="General">
                  <c:v>1</c:v>
                </c:pt>
                <c:pt idx="1">
                  <c:v>6.4039369999066217E-2</c:v>
                </c:pt>
                <c:pt idx="2">
                  <c:v>-0.16058848351814584</c:v>
                </c:pt>
                <c:pt idx="3">
                  <c:v>-3.0010351355066801E-3</c:v>
                </c:pt>
                <c:pt idx="4">
                  <c:v>0.18415042688245639</c:v>
                </c:pt>
                <c:pt idx="5">
                  <c:v>-9.9376984852891995E-2</c:v>
                </c:pt>
                <c:pt idx="6">
                  <c:v>-0.82738250423982462</c:v>
                </c:pt>
                <c:pt idx="7">
                  <c:v>-4.5143982779476961E-2</c:v>
                </c:pt>
                <c:pt idx="8">
                  <c:v>6.1538254360682255E-2</c:v>
                </c:pt>
                <c:pt idx="9">
                  <c:v>3.1027787362780605E-2</c:v>
                </c:pt>
                <c:pt idx="10">
                  <c:v>-0.30950304506006698</c:v>
                </c:pt>
                <c:pt idx="11">
                  <c:v>-1.2300391055373325E-2</c:v>
                </c:pt>
                <c:pt idx="12">
                  <c:v>0.66135101424993936</c:v>
                </c:pt>
                <c:pt idx="13">
                  <c:v>-1.2563272440064851E-2</c:v>
                </c:pt>
                <c:pt idx="14">
                  <c:v>-8.4855192270378257E-2</c:v>
                </c:pt>
                <c:pt idx="15">
                  <c:v>-0.1881760331284254</c:v>
                </c:pt>
                <c:pt idx="16">
                  <c:v>0.441279768601816</c:v>
                </c:pt>
                <c:pt idx="17">
                  <c:v>0.17505930745330098</c:v>
                </c:pt>
                <c:pt idx="18">
                  <c:v>-0.79760807921983001</c:v>
                </c:pt>
                <c:pt idx="19">
                  <c:v>6.4884334431645749E-2</c:v>
                </c:pt>
                <c:pt idx="20">
                  <c:v>5.1419215870275259E-2</c:v>
                </c:pt>
                <c:pt idx="21">
                  <c:v>2.9323428672723462E-2</c:v>
                </c:pt>
                <c:pt idx="22">
                  <c:v>-0.98527882746669215</c:v>
                </c:pt>
                <c:pt idx="23">
                  <c:v>1.0000000000000002</c:v>
                </c:pt>
                <c:pt idx="24">
                  <c:v>0</c:v>
                </c:pt>
              </c:numCache>
            </c:numRef>
          </c:val>
          <c:extLst>
            <c:ext xmlns:c16="http://schemas.microsoft.com/office/drawing/2014/chart" uri="{C3380CC4-5D6E-409C-BE32-E72D297353CC}">
              <c16:uniqueId val="{00000000-EA46-4AC7-A419-F76D0C507AD3}"/>
            </c:ext>
          </c:extLst>
        </c:ser>
        <c:dLbls>
          <c:showLegendKey val="0"/>
          <c:showVal val="0"/>
          <c:showCatName val="0"/>
          <c:showSerName val="0"/>
          <c:showPercent val="0"/>
          <c:showBubbleSize val="0"/>
        </c:dLbls>
        <c:gapWidth val="219"/>
        <c:overlap val="-27"/>
        <c:axId val="807369064"/>
        <c:axId val="807367424"/>
      </c:barChart>
      <c:catAx>
        <c:axId val="807369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7367424"/>
        <c:crosses val="autoZero"/>
        <c:auto val="1"/>
        <c:lblAlgn val="ctr"/>
        <c:lblOffset val="100"/>
        <c:noMultiLvlLbl val="0"/>
      </c:catAx>
      <c:valAx>
        <c:axId val="8073674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73690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chemeClr val="accent1"/>
            </a:solidFill>
            <a:ln>
              <a:noFill/>
            </a:ln>
            <a:effectLst/>
          </c:spPr>
          <c:invertIfNegative val="0"/>
          <c:cat>
            <c:numRef>
              <c:f>'잔차의 자기상관'!$L$1:$X$1</c:f>
              <c:numCache>
                <c:formatCode>General</c:formatCode>
                <c:ptCount val="13"/>
                <c:pt idx="0">
                  <c:v>0</c:v>
                </c:pt>
                <c:pt idx="1">
                  <c:v>1</c:v>
                </c:pt>
                <c:pt idx="2">
                  <c:v>2</c:v>
                </c:pt>
                <c:pt idx="3">
                  <c:v>3</c:v>
                </c:pt>
                <c:pt idx="4">
                  <c:v>4</c:v>
                </c:pt>
                <c:pt idx="5">
                  <c:v>5</c:v>
                </c:pt>
                <c:pt idx="6">
                  <c:v>6</c:v>
                </c:pt>
                <c:pt idx="7">
                  <c:v>7</c:v>
                </c:pt>
                <c:pt idx="8">
                  <c:v>8</c:v>
                </c:pt>
                <c:pt idx="9">
                  <c:v>9</c:v>
                </c:pt>
                <c:pt idx="10">
                  <c:v>10</c:v>
                </c:pt>
                <c:pt idx="11">
                  <c:v>11</c:v>
                </c:pt>
                <c:pt idx="12">
                  <c:v>12</c:v>
                </c:pt>
              </c:numCache>
            </c:numRef>
          </c:cat>
          <c:val>
            <c:numRef>
              <c:f>'잔차의 자기상관'!$L$2:$X$2</c:f>
              <c:numCache>
                <c:formatCode>General</c:formatCode>
                <c:ptCount val="13"/>
                <c:pt idx="0">
                  <c:v>1.0000000000000002</c:v>
                </c:pt>
                <c:pt idx="1">
                  <c:v>0.60433816192492895</c:v>
                </c:pt>
                <c:pt idx="2">
                  <c:v>0.45037915771442438</c:v>
                </c:pt>
                <c:pt idx="3">
                  <c:v>0.33859952579361569</c:v>
                </c:pt>
                <c:pt idx="4">
                  <c:v>0.25802675400027714</c:v>
                </c:pt>
                <c:pt idx="5">
                  <c:v>0.22083423320696294</c:v>
                </c:pt>
                <c:pt idx="6">
                  <c:v>0.16393464015520534</c:v>
                </c:pt>
                <c:pt idx="7">
                  <c:v>0.18370531454465347</c:v>
                </c:pt>
                <c:pt idx="8">
                  <c:v>0.18289631555051786</c:v>
                </c:pt>
                <c:pt idx="9">
                  <c:v>0.18233399513832568</c:v>
                </c:pt>
                <c:pt idx="10">
                  <c:v>0.11864914885263421</c:v>
                </c:pt>
                <c:pt idx="11">
                  <c:v>0.13703759765275536</c:v>
                </c:pt>
                <c:pt idx="12">
                  <c:v>0.10008537985822999</c:v>
                </c:pt>
              </c:numCache>
            </c:numRef>
          </c:val>
          <c:extLst>
            <c:ext xmlns:c16="http://schemas.microsoft.com/office/drawing/2014/chart" uri="{C3380CC4-5D6E-409C-BE32-E72D297353CC}">
              <c16:uniqueId val="{00000000-DBB3-43B0-8C5C-5FEAA520260E}"/>
            </c:ext>
          </c:extLst>
        </c:ser>
        <c:dLbls>
          <c:showLegendKey val="0"/>
          <c:showVal val="0"/>
          <c:showCatName val="0"/>
          <c:showSerName val="0"/>
          <c:showPercent val="0"/>
          <c:showBubbleSize val="0"/>
        </c:dLbls>
        <c:gapWidth val="219"/>
        <c:overlap val="-27"/>
        <c:axId val="627712184"/>
        <c:axId val="627712840"/>
      </c:barChart>
      <c:catAx>
        <c:axId val="627712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27712840"/>
        <c:crosses val="autoZero"/>
        <c:auto val="1"/>
        <c:lblAlgn val="ctr"/>
        <c:lblOffset val="100"/>
        <c:noMultiLvlLbl val="0"/>
      </c:catAx>
      <c:valAx>
        <c:axId val="627712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2771218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평활법!$B$6</c:f>
              <c:strCache>
                <c:ptCount val="1"/>
                <c:pt idx="0">
                  <c:v>매출액</c:v>
                </c:pt>
              </c:strCache>
            </c:strRef>
          </c:tx>
          <c:spPr>
            <a:ln w="28575" cap="rnd">
              <a:solidFill>
                <a:schemeClr val="accent1"/>
              </a:solidFill>
              <a:round/>
            </a:ln>
            <a:effectLst/>
          </c:spPr>
          <c:marker>
            <c:symbol val="none"/>
          </c:marker>
          <c:val>
            <c:numRef>
              <c:f>평활법!$B$7:$B$16</c:f>
              <c:numCache>
                <c:formatCode>0.0</c:formatCode>
                <c:ptCount val="10"/>
                <c:pt idx="0">
                  <c:v>120</c:v>
                </c:pt>
                <c:pt idx="1">
                  <c:v>110</c:v>
                </c:pt>
                <c:pt idx="2">
                  <c:v>130</c:v>
                </c:pt>
                <c:pt idx="3">
                  <c:v>135</c:v>
                </c:pt>
                <c:pt idx="4">
                  <c:v>140</c:v>
                </c:pt>
                <c:pt idx="5">
                  <c:v>145</c:v>
                </c:pt>
                <c:pt idx="6">
                  <c:v>160</c:v>
                </c:pt>
                <c:pt idx="7">
                  <c:v>165</c:v>
                </c:pt>
                <c:pt idx="8">
                  <c:v>160</c:v>
                </c:pt>
                <c:pt idx="9">
                  <c:v>170</c:v>
                </c:pt>
              </c:numCache>
            </c:numRef>
          </c:val>
          <c:smooth val="0"/>
          <c:extLst>
            <c:ext xmlns:c16="http://schemas.microsoft.com/office/drawing/2014/chart" uri="{C3380CC4-5D6E-409C-BE32-E72D297353CC}">
              <c16:uniqueId val="{00000000-43A5-41CD-9B43-433755E2CAD0}"/>
            </c:ext>
          </c:extLst>
        </c:ser>
        <c:ser>
          <c:idx val="1"/>
          <c:order val="1"/>
          <c:tx>
            <c:strRef>
              <c:f>평활법!$C$6</c:f>
              <c:strCache>
                <c:ptCount val="1"/>
                <c:pt idx="0">
                  <c:v>3주 예측값</c:v>
                </c:pt>
              </c:strCache>
            </c:strRef>
          </c:tx>
          <c:spPr>
            <a:ln w="28575" cap="rnd">
              <a:solidFill>
                <a:schemeClr val="accent2"/>
              </a:solidFill>
              <a:round/>
            </a:ln>
            <a:effectLst/>
          </c:spPr>
          <c:marker>
            <c:symbol val="none"/>
          </c:marker>
          <c:val>
            <c:numRef>
              <c:f>평활법!$C$7:$C$16</c:f>
              <c:numCache>
                <c:formatCode>0.0</c:formatCode>
                <c:ptCount val="10"/>
                <c:pt idx="3">
                  <c:v>120</c:v>
                </c:pt>
                <c:pt idx="4">
                  <c:v>125</c:v>
                </c:pt>
                <c:pt idx="5">
                  <c:v>135</c:v>
                </c:pt>
                <c:pt idx="6">
                  <c:v>140</c:v>
                </c:pt>
                <c:pt idx="7">
                  <c:v>148.33333333333334</c:v>
                </c:pt>
                <c:pt idx="8">
                  <c:v>156.66666666666666</c:v>
                </c:pt>
                <c:pt idx="9">
                  <c:v>161.66666666666666</c:v>
                </c:pt>
              </c:numCache>
            </c:numRef>
          </c:val>
          <c:smooth val="0"/>
          <c:extLst>
            <c:ext xmlns:c16="http://schemas.microsoft.com/office/drawing/2014/chart" uri="{C3380CC4-5D6E-409C-BE32-E72D297353CC}">
              <c16:uniqueId val="{00000001-43A5-41CD-9B43-433755E2CAD0}"/>
            </c:ext>
          </c:extLst>
        </c:ser>
        <c:ser>
          <c:idx val="2"/>
          <c:order val="2"/>
          <c:tx>
            <c:strRef>
              <c:f>평활법!$H$6</c:f>
              <c:strCache>
                <c:ptCount val="1"/>
                <c:pt idx="0">
                  <c:v>5주 예측값</c:v>
                </c:pt>
              </c:strCache>
            </c:strRef>
          </c:tx>
          <c:spPr>
            <a:ln w="28575" cap="rnd">
              <a:solidFill>
                <a:schemeClr val="accent3"/>
              </a:solidFill>
              <a:round/>
            </a:ln>
            <a:effectLst/>
          </c:spPr>
          <c:marker>
            <c:symbol val="none"/>
          </c:marker>
          <c:val>
            <c:numRef>
              <c:f>평활법!$H$7:$H$16</c:f>
              <c:numCache>
                <c:formatCode>0.0</c:formatCode>
                <c:ptCount val="10"/>
                <c:pt idx="5">
                  <c:v>127</c:v>
                </c:pt>
                <c:pt idx="6">
                  <c:v>132</c:v>
                </c:pt>
                <c:pt idx="7">
                  <c:v>142</c:v>
                </c:pt>
                <c:pt idx="8">
                  <c:v>149</c:v>
                </c:pt>
                <c:pt idx="9">
                  <c:v>154</c:v>
                </c:pt>
              </c:numCache>
            </c:numRef>
          </c:val>
          <c:smooth val="0"/>
          <c:extLst>
            <c:ext xmlns:c16="http://schemas.microsoft.com/office/drawing/2014/chart" uri="{C3380CC4-5D6E-409C-BE32-E72D297353CC}">
              <c16:uniqueId val="{00000002-43A5-41CD-9B43-433755E2CAD0}"/>
            </c:ext>
          </c:extLst>
        </c:ser>
        <c:dLbls>
          <c:showLegendKey val="0"/>
          <c:showVal val="0"/>
          <c:showCatName val="0"/>
          <c:showSerName val="0"/>
          <c:showPercent val="0"/>
          <c:showBubbleSize val="0"/>
        </c:dLbls>
        <c:smooth val="0"/>
        <c:axId val="757529016"/>
        <c:axId val="757533936"/>
      </c:lineChart>
      <c:catAx>
        <c:axId val="757529016"/>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533936"/>
        <c:crosses val="autoZero"/>
        <c:auto val="1"/>
        <c:lblAlgn val="ctr"/>
        <c:lblOffset val="100"/>
        <c:noMultiLvlLbl val="0"/>
      </c:catAx>
      <c:valAx>
        <c:axId val="75753393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5290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평활법!$B$26</c:f>
              <c:strCache>
                <c:ptCount val="1"/>
                <c:pt idx="0">
                  <c:v>매출액</c:v>
                </c:pt>
              </c:strCache>
            </c:strRef>
          </c:tx>
          <c:spPr>
            <a:ln w="28575" cap="rnd">
              <a:solidFill>
                <a:schemeClr val="accent1"/>
              </a:solidFill>
              <a:round/>
            </a:ln>
            <a:effectLst/>
          </c:spPr>
          <c:marker>
            <c:symbol val="none"/>
          </c:marker>
          <c:val>
            <c:numRef>
              <c:f>평활법!$B$27:$B$36</c:f>
              <c:numCache>
                <c:formatCode>General</c:formatCode>
                <c:ptCount val="10"/>
                <c:pt idx="0">
                  <c:v>120</c:v>
                </c:pt>
                <c:pt idx="1">
                  <c:v>110</c:v>
                </c:pt>
                <c:pt idx="2">
                  <c:v>130</c:v>
                </c:pt>
                <c:pt idx="3">
                  <c:v>135</c:v>
                </c:pt>
                <c:pt idx="4">
                  <c:v>140</c:v>
                </c:pt>
                <c:pt idx="5">
                  <c:v>145</c:v>
                </c:pt>
                <c:pt idx="6">
                  <c:v>160</c:v>
                </c:pt>
                <c:pt idx="7">
                  <c:v>165</c:v>
                </c:pt>
                <c:pt idx="8">
                  <c:v>160</c:v>
                </c:pt>
                <c:pt idx="9">
                  <c:v>170</c:v>
                </c:pt>
              </c:numCache>
            </c:numRef>
          </c:val>
          <c:smooth val="0"/>
          <c:extLst>
            <c:ext xmlns:c16="http://schemas.microsoft.com/office/drawing/2014/chart" uri="{C3380CC4-5D6E-409C-BE32-E72D297353CC}">
              <c16:uniqueId val="{00000000-0FEB-4A5A-8879-D6F32C2E23C4}"/>
            </c:ext>
          </c:extLst>
        </c:ser>
        <c:ser>
          <c:idx val="1"/>
          <c:order val="1"/>
          <c:tx>
            <c:strRef>
              <c:f>평활법!$C$26</c:f>
              <c:strCache>
                <c:ptCount val="1"/>
                <c:pt idx="0">
                  <c:v>2주예측값</c:v>
                </c:pt>
              </c:strCache>
            </c:strRef>
          </c:tx>
          <c:spPr>
            <a:ln w="28575" cap="rnd">
              <a:solidFill>
                <a:schemeClr val="accent2"/>
              </a:solidFill>
              <a:round/>
            </a:ln>
            <a:effectLst/>
          </c:spPr>
          <c:marker>
            <c:symbol val="none"/>
          </c:marker>
          <c:val>
            <c:numRef>
              <c:f>평활법!$C$27:$C$36</c:f>
              <c:numCache>
                <c:formatCode>General</c:formatCode>
                <c:ptCount val="10"/>
                <c:pt idx="2">
                  <c:v>115</c:v>
                </c:pt>
                <c:pt idx="3">
                  <c:v>120</c:v>
                </c:pt>
                <c:pt idx="4">
                  <c:v>132.5</c:v>
                </c:pt>
                <c:pt idx="5">
                  <c:v>137.5</c:v>
                </c:pt>
                <c:pt idx="6">
                  <c:v>142.5</c:v>
                </c:pt>
                <c:pt idx="7">
                  <c:v>152.5</c:v>
                </c:pt>
                <c:pt idx="8">
                  <c:v>162.5</c:v>
                </c:pt>
                <c:pt idx="9">
                  <c:v>162.5</c:v>
                </c:pt>
              </c:numCache>
            </c:numRef>
          </c:val>
          <c:smooth val="0"/>
          <c:extLst>
            <c:ext xmlns:c16="http://schemas.microsoft.com/office/drawing/2014/chart" uri="{C3380CC4-5D6E-409C-BE32-E72D297353CC}">
              <c16:uniqueId val="{00000001-0FEB-4A5A-8879-D6F32C2E23C4}"/>
            </c:ext>
          </c:extLst>
        </c:ser>
        <c:ser>
          <c:idx val="2"/>
          <c:order val="2"/>
          <c:tx>
            <c:strRef>
              <c:f>평활법!$D$26</c:f>
              <c:strCache>
                <c:ptCount val="1"/>
                <c:pt idx="0">
                  <c:v>중심이동평균</c:v>
                </c:pt>
              </c:strCache>
            </c:strRef>
          </c:tx>
          <c:spPr>
            <a:ln w="28575" cap="rnd">
              <a:solidFill>
                <a:schemeClr val="accent3"/>
              </a:solidFill>
              <a:round/>
            </a:ln>
            <a:effectLst/>
          </c:spPr>
          <c:marker>
            <c:symbol val="none"/>
          </c:marker>
          <c:val>
            <c:numRef>
              <c:f>평활법!$D$27:$D$36</c:f>
              <c:numCache>
                <c:formatCode>General</c:formatCode>
                <c:ptCount val="10"/>
                <c:pt idx="3">
                  <c:v>117.5</c:v>
                </c:pt>
                <c:pt idx="4">
                  <c:v>126.25</c:v>
                </c:pt>
                <c:pt idx="5">
                  <c:v>135</c:v>
                </c:pt>
                <c:pt idx="6">
                  <c:v>140</c:v>
                </c:pt>
                <c:pt idx="7">
                  <c:v>147.5</c:v>
                </c:pt>
                <c:pt idx="8">
                  <c:v>157.5</c:v>
                </c:pt>
                <c:pt idx="9">
                  <c:v>162.5</c:v>
                </c:pt>
              </c:numCache>
            </c:numRef>
          </c:val>
          <c:smooth val="0"/>
          <c:extLst>
            <c:ext xmlns:c16="http://schemas.microsoft.com/office/drawing/2014/chart" uri="{C3380CC4-5D6E-409C-BE32-E72D297353CC}">
              <c16:uniqueId val="{00000002-0FEB-4A5A-8879-D6F32C2E23C4}"/>
            </c:ext>
          </c:extLst>
        </c:ser>
        <c:dLbls>
          <c:showLegendKey val="0"/>
          <c:showVal val="0"/>
          <c:showCatName val="0"/>
          <c:showSerName val="0"/>
          <c:showPercent val="0"/>
          <c:showBubbleSize val="0"/>
        </c:dLbls>
        <c:smooth val="0"/>
        <c:axId val="808956528"/>
        <c:axId val="808955216"/>
      </c:lineChart>
      <c:catAx>
        <c:axId val="808956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8955216"/>
        <c:crosses val="autoZero"/>
        <c:auto val="1"/>
        <c:lblAlgn val="ctr"/>
        <c:lblOffset val="100"/>
        <c:noMultiLvlLbl val="0"/>
      </c:catAx>
      <c:valAx>
        <c:axId val="8089552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895652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지수함수!$D$33:$D$53</c:f>
              <c:numCache>
                <c:formatCode>General</c:formatCode>
                <c:ptCount val="21"/>
                <c:pt idx="0">
                  <c:v>6.25E-2</c:v>
                </c:pt>
                <c:pt idx="1">
                  <c:v>6.6985841408518335E-2</c:v>
                </c:pt>
                <c:pt idx="2">
                  <c:v>7.1793647187314694E-2</c:v>
                </c:pt>
                <c:pt idx="3">
                  <c:v>7.6946525834057269E-2</c:v>
                </c:pt>
                <c:pt idx="4">
                  <c:v>8.2469244423305901E-2</c:v>
                </c:pt>
                <c:pt idx="5">
                  <c:v>8.8388347648318447E-2</c:v>
                </c:pt>
                <c:pt idx="6">
                  <c:v>9.4732285406899902E-2</c:v>
                </c:pt>
                <c:pt idx="7">
                  <c:v>0.10153154954452946</c:v>
                </c:pt>
                <c:pt idx="8">
                  <c:v>0.10881882041201553</c:v>
                </c:pt>
                <c:pt idx="9">
                  <c:v>0.11662912394210095</c:v>
                </c:pt>
                <c:pt idx="10">
                  <c:v>0.125</c:v>
                </c:pt>
                <c:pt idx="11">
                  <c:v>0.13397168281703667</c:v>
                </c:pt>
                <c:pt idx="12">
                  <c:v>0.14358729437462939</c:v>
                </c:pt>
                <c:pt idx="13">
                  <c:v>0.15389305166811451</c:v>
                </c:pt>
                <c:pt idx="14">
                  <c:v>0.1649384888466118</c:v>
                </c:pt>
                <c:pt idx="15">
                  <c:v>0.17677669529663687</c:v>
                </c:pt>
                <c:pt idx="16">
                  <c:v>0.18946457081379978</c:v>
                </c:pt>
                <c:pt idx="17">
                  <c:v>0.20306309908905892</c:v>
                </c:pt>
                <c:pt idx="18">
                  <c:v>0.21763764082403106</c:v>
                </c:pt>
                <c:pt idx="19">
                  <c:v>0.23325824788420185</c:v>
                </c:pt>
                <c:pt idx="20">
                  <c:v>0.25</c:v>
                </c:pt>
              </c:numCache>
            </c:numRef>
          </c:yVal>
          <c:smooth val="0"/>
          <c:extLst>
            <c:ext xmlns:c16="http://schemas.microsoft.com/office/drawing/2014/chart" uri="{C3380CC4-5D6E-409C-BE32-E72D297353CC}">
              <c16:uniqueId val="{00000000-5669-4DCC-AB51-19963798E75E}"/>
            </c:ext>
          </c:extLst>
        </c:ser>
        <c:dLbls>
          <c:showLegendKey val="0"/>
          <c:showVal val="0"/>
          <c:showCatName val="0"/>
          <c:showSerName val="0"/>
          <c:showPercent val="0"/>
          <c:showBubbleSize val="0"/>
        </c:dLbls>
        <c:axId val="1209906831"/>
        <c:axId val="1209905999"/>
      </c:scatterChart>
      <c:valAx>
        <c:axId val="12099068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9905999"/>
        <c:crosses val="autoZero"/>
        <c:crossBetween val="midCat"/>
      </c:valAx>
      <c:valAx>
        <c:axId val="12099059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990683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지수함수!$E$33:$E$53</c:f>
              <c:numCache>
                <c:formatCode>General</c:formatCode>
                <c:ptCount val="21"/>
                <c:pt idx="0">
                  <c:v>3.5</c:v>
                </c:pt>
                <c:pt idx="1">
                  <c:v>3.5358867312681466</c:v>
                </c:pt>
                <c:pt idx="2">
                  <c:v>3.5743491774985174</c:v>
                </c:pt>
                <c:pt idx="3">
                  <c:v>3.615572206672458</c:v>
                </c:pt>
                <c:pt idx="4">
                  <c:v>3.6597539553864471</c:v>
                </c:pt>
                <c:pt idx="5">
                  <c:v>3.7071067811865475</c:v>
                </c:pt>
                <c:pt idx="6">
                  <c:v>3.757858283255199</c:v>
                </c:pt>
                <c:pt idx="7">
                  <c:v>3.8122523963562354</c:v>
                </c:pt>
                <c:pt idx="8">
                  <c:v>3.8705505632961241</c:v>
                </c:pt>
                <c:pt idx="9">
                  <c:v>3.9330329915368072</c:v>
                </c:pt>
                <c:pt idx="10">
                  <c:v>4</c:v>
                </c:pt>
                <c:pt idx="11">
                  <c:v>4.0717734625362931</c:v>
                </c:pt>
                <c:pt idx="12">
                  <c:v>4.1486983549970349</c:v>
                </c:pt>
                <c:pt idx="13">
                  <c:v>4.2311444133449161</c:v>
                </c:pt>
                <c:pt idx="14">
                  <c:v>4.3195079107728942</c:v>
                </c:pt>
                <c:pt idx="15">
                  <c:v>4.4142135623730949</c:v>
                </c:pt>
                <c:pt idx="16">
                  <c:v>4.515716566510398</c:v>
                </c:pt>
                <c:pt idx="17">
                  <c:v>4.6245047927124707</c:v>
                </c:pt>
                <c:pt idx="18">
                  <c:v>4.7411011265922482</c:v>
                </c:pt>
                <c:pt idx="19">
                  <c:v>4.8660659830736144</c:v>
                </c:pt>
                <c:pt idx="20">
                  <c:v>5</c:v>
                </c:pt>
              </c:numCache>
            </c:numRef>
          </c:yVal>
          <c:smooth val="0"/>
          <c:extLst>
            <c:ext xmlns:c16="http://schemas.microsoft.com/office/drawing/2014/chart" uri="{C3380CC4-5D6E-409C-BE32-E72D297353CC}">
              <c16:uniqueId val="{00000000-3F60-46AA-B095-949778DD141D}"/>
            </c:ext>
          </c:extLst>
        </c:ser>
        <c:dLbls>
          <c:showLegendKey val="0"/>
          <c:showVal val="0"/>
          <c:showCatName val="0"/>
          <c:showSerName val="0"/>
          <c:showPercent val="0"/>
          <c:showBubbleSize val="0"/>
        </c:dLbls>
        <c:axId val="997414335"/>
        <c:axId val="997415583"/>
      </c:scatterChart>
      <c:valAx>
        <c:axId val="99741433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97415583"/>
        <c:crosses val="autoZero"/>
        <c:crossBetween val="midCat"/>
      </c:valAx>
      <c:valAx>
        <c:axId val="9974155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97414335"/>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a:t>
            </a:r>
            <a:r>
              <a:rPr lang="ko-KR" altLang="en-US"/>
              <a:t>축에 대해 대칭이동</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지수함수!$A$63:$A$83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지수함수!$D$63:$D$83</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FFE7-4452-A027-D445DA6FE5BB}"/>
            </c:ext>
          </c:extLst>
        </c:ser>
        <c:dLbls>
          <c:showLegendKey val="0"/>
          <c:showVal val="0"/>
          <c:showCatName val="0"/>
          <c:showSerName val="0"/>
          <c:showPercent val="0"/>
          <c:showBubbleSize val="0"/>
        </c:dLbls>
        <c:axId val="1219735951"/>
        <c:axId val="1219737199"/>
      </c:scatterChart>
      <c:valAx>
        <c:axId val="121973595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19737199"/>
        <c:crosses val="autoZero"/>
        <c:crossBetween val="midCat"/>
      </c:valAx>
      <c:valAx>
        <c:axId val="12197371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1973595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x</a:t>
            </a:r>
            <a:r>
              <a:rPr lang="ko-KR" altLang="en-US"/>
              <a:t>축에 대해 대칭이동</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지수함수!$A$63:$A$83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지수함수!$F$63:$F$83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B36B-4F64-A492-15D64AD09F18}"/>
            </c:ext>
          </c:extLst>
        </c:ser>
        <c:dLbls>
          <c:showLegendKey val="0"/>
          <c:showVal val="0"/>
          <c:showCatName val="0"/>
          <c:showSerName val="0"/>
          <c:showPercent val="0"/>
          <c:showBubbleSize val="0"/>
        </c:dLbls>
        <c:axId val="1203195247"/>
        <c:axId val="802741855"/>
      </c:scatterChart>
      <c:valAx>
        <c:axId val="12031952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2741855"/>
        <c:crosses val="autoZero"/>
        <c:crossBetween val="midCat"/>
      </c:valAx>
      <c:valAx>
        <c:axId val="802741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319524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지수함수!$C$33:$C$53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37CC-46A6-AC53-CD0A9E29263C}"/>
            </c:ext>
          </c:extLst>
        </c:ser>
        <c:dLbls>
          <c:showLegendKey val="0"/>
          <c:showVal val="0"/>
          <c:showCatName val="0"/>
          <c:showSerName val="0"/>
          <c:showPercent val="0"/>
          <c:showBubbleSize val="0"/>
        </c:dLbls>
        <c:axId val="1207675167"/>
        <c:axId val="1207675999"/>
      </c:scatterChart>
      <c:valAx>
        <c:axId val="120767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999"/>
        <c:crosses val="autoZero"/>
        <c:crossBetween val="midCat"/>
      </c:valAx>
      <c:valAx>
        <c:axId val="12076759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원점에 대해 대칭이동</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지수함수!$A$63:$A$83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지수함수!$H$63:$H$83</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F359-4562-96B2-13508C40FF9D}"/>
            </c:ext>
          </c:extLst>
        </c:ser>
        <c:dLbls>
          <c:showLegendKey val="0"/>
          <c:showVal val="0"/>
          <c:showCatName val="0"/>
          <c:showSerName val="0"/>
          <c:showPercent val="0"/>
          <c:showBubbleSize val="0"/>
        </c:dLbls>
        <c:axId val="1096024639"/>
        <c:axId val="1096025055"/>
      </c:scatterChart>
      <c:valAx>
        <c:axId val="10960246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6025055"/>
        <c:crosses val="autoZero"/>
        <c:crossBetween val="midCat"/>
      </c:valAx>
      <c:valAx>
        <c:axId val="10960250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602463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_xlchart.v1.3</cx:f>
      </cx:numDim>
    </cx:data>
  </cx:chartData>
  <cx:chart>
    <cx:title pos="t" align="ctr" overlay="0">
      <cx:tx>
        <cx:rich>
          <a:bodyPr rot="0" spcFirstLastPara="1" vertOverflow="ellipsis" vert="horz" wrap="square" lIns="0" tIns="0" rIns="0" bIns="0" anchor="ctr" anchorCtr="1"/>
          <a:lstStyle/>
          <a:p>
            <a:pPr algn="ctr">
              <a:defRPr/>
            </a:pPr>
            <a:r>
              <a:rPr lang="en-US" altLang="ko-KR"/>
              <a:t>outlier</a:t>
            </a:r>
            <a:endParaRPr lang="ko-KR"/>
          </a:p>
        </cx:rich>
      </cx:tx>
    </cx:title>
    <cx:plotArea>
      <cx:plotAreaRegion>
        <cx:series layoutId="boxWhisker" uniqueId="{263A89AC-2058-48A2-9499-F3FE437A2992}">
          <cx:tx>
            <cx:txData>
              <cx:f>_xlchart.v1.2</cx:f>
              <cx:v>#REF!</cx:v>
            </cx:txData>
          </cx:tx>
          <cx:dataId val="0"/>
          <cx:layoutPr>
            <cx:visibility meanLine="0" meanMarker="1" nonoutliers="0" outliers="1"/>
            <cx:statistics quartileMethod="exclusive"/>
          </cx:layoutPr>
        </cx:series>
      </cx:plotAreaRegion>
      <cx:axis id="0">
        <cx:catScaling gapWidth="1"/>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_xlchart.v1.1</cx:f>
      </cx:numDim>
    </cx:data>
  </cx:chartData>
  <cx:chart>
    <cx:title pos="t" align="ctr" overlay="0">
      <cx:tx>
        <cx:rich>
          <a:bodyPr rot="0" spcFirstLastPara="1" vertOverflow="ellipsis" vert="horz" wrap="square" lIns="0" tIns="0" rIns="0" bIns="0" anchor="ctr" anchorCtr="1"/>
          <a:lstStyle/>
          <a:p>
            <a:pPr algn="ctr">
              <a:defRPr/>
            </a:pPr>
            <a:r>
              <a:rPr lang="ko-KR" altLang="en-US"/>
              <a:t>상자수염그림 </a:t>
            </a:r>
            <a:r>
              <a:rPr lang="en-US" altLang="ko-KR"/>
              <a:t>box plot</a:t>
            </a:r>
            <a:endParaRPr lang="ko-KR"/>
          </a:p>
        </cx:rich>
      </cx:tx>
    </cx:title>
    <cx:plotArea>
      <cx:plotAreaRegion>
        <cx:series layoutId="boxWhisker" uniqueId="{473930B2-6AB9-4EC0-A315-0E041BC86D4F}">
          <cx:tx>
            <cx:txData>
              <cx:f>_xlchart.v1.0</cx:f>
              <cx:v>#REF!</cx:v>
            </cx:txData>
          </cx:tx>
          <cx:dataId val="0"/>
          <cx:layoutPr>
            <cx:visibility meanLine="0" meanMarker="1" nonoutliers="0" outliers="1"/>
            <cx:statistics quartileMethod="exclusive"/>
          </cx:layoutPr>
        </cx:series>
      </cx:plotAreaRegion>
      <cx:axis id="0">
        <cx:catScaling gapWidth="1"/>
        <cx:tickLabels/>
      </cx:axis>
      <cx:axis id="1">
        <cx:valScaling max="185" min="140"/>
        <cx:majorGridlines/>
        <cx:tickLabels/>
      </cx:axis>
    </cx:plotArea>
  </cx:chart>
  <cx:clrMapOvr bg1="lt1" tx1="dk1" bg2="lt2" tx2="dk2" accent1="accent1" accent2="accent2" accent3="accent3" accent4="accent4" accent5="accent5" accent6="accent6" hlink="hlink" folHlink="folHlink"/>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2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chart" Target="../charts/chart16.xml"/><Relationship Id="rId3" Type="http://schemas.openxmlformats.org/officeDocument/2006/relationships/image" Target="../media/image25.png"/><Relationship Id="rId7" Type="http://schemas.openxmlformats.org/officeDocument/2006/relationships/chart" Target="../charts/chart15.xml"/><Relationship Id="rId2" Type="http://schemas.openxmlformats.org/officeDocument/2006/relationships/chart" Target="../charts/chart13.xml"/><Relationship Id="rId1" Type="http://schemas.openxmlformats.org/officeDocument/2006/relationships/image" Target="../media/image24.png"/><Relationship Id="rId6" Type="http://schemas.openxmlformats.org/officeDocument/2006/relationships/chart" Target="../charts/chart14.xml"/><Relationship Id="rId5" Type="http://schemas.openxmlformats.org/officeDocument/2006/relationships/image" Target="../media/image27.png"/><Relationship Id="rId4" Type="http://schemas.openxmlformats.org/officeDocument/2006/relationships/image" Target="../media/image26.png"/><Relationship Id="rId9" Type="http://schemas.openxmlformats.org/officeDocument/2006/relationships/chart" Target="../charts/chart17.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9.png"/></Relationships>
</file>

<file path=xl/drawings/_rels/drawing13.xml.rels><?xml version="1.0" encoding="UTF-8" standalone="yes"?>
<Relationships xmlns="http://schemas.openxmlformats.org/package/2006/relationships"><Relationship Id="rId3" Type="http://schemas.openxmlformats.org/officeDocument/2006/relationships/chart" Target="../charts/chart19.xml"/><Relationship Id="rId2" Type="http://schemas.openxmlformats.org/officeDocument/2006/relationships/image" Target="../media/image30.png"/><Relationship Id="rId1" Type="http://schemas.openxmlformats.org/officeDocument/2006/relationships/chart" Target="../charts/chart18.xml"/><Relationship Id="rId5" Type="http://schemas.openxmlformats.org/officeDocument/2006/relationships/chart" Target="../charts/chart21.xml"/><Relationship Id="rId4" Type="http://schemas.openxmlformats.org/officeDocument/2006/relationships/chart" Target="../charts/chart20.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15.xml.rels><?xml version="1.0" encoding="UTF-8" standalone="yes"?>
<Relationships xmlns="http://schemas.openxmlformats.org/package/2006/relationships"><Relationship Id="rId3" Type="http://schemas.openxmlformats.org/officeDocument/2006/relationships/image" Target="../media/image32.jpg"/><Relationship Id="rId2" Type="http://schemas.openxmlformats.org/officeDocument/2006/relationships/chart" Target="../charts/chart23.xml"/><Relationship Id="rId1" Type="http://schemas.openxmlformats.org/officeDocument/2006/relationships/image" Target="../media/image31.jpg"/><Relationship Id="rId6" Type="http://schemas.openxmlformats.org/officeDocument/2006/relationships/image" Target="../media/image35.png"/><Relationship Id="rId5" Type="http://schemas.openxmlformats.org/officeDocument/2006/relationships/image" Target="../media/image34.jpg"/><Relationship Id="rId4" Type="http://schemas.openxmlformats.org/officeDocument/2006/relationships/image" Target="../media/image33.jpg"/></Relationships>
</file>

<file path=xl/drawings/_rels/drawing16.xml.rels><?xml version="1.0" encoding="UTF-8" standalone="yes"?>
<Relationships xmlns="http://schemas.openxmlformats.org/package/2006/relationships"><Relationship Id="rId1" Type="http://schemas.openxmlformats.org/officeDocument/2006/relationships/image" Target="../media/image36.png"/></Relationships>
</file>

<file path=xl/drawings/_rels/drawing17.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s>
</file>

<file path=xl/drawings/_rels/drawing19.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20.xml.rels><?xml version="1.0" encoding="UTF-8" standalone="yes"?>
<Relationships xmlns="http://schemas.openxmlformats.org/package/2006/relationships"><Relationship Id="rId3" Type="http://schemas.openxmlformats.org/officeDocument/2006/relationships/chart" Target="../charts/chart25.xml"/><Relationship Id="rId2" Type="http://schemas.openxmlformats.org/officeDocument/2006/relationships/image" Target="../media/image45.png"/><Relationship Id="rId1" Type="http://schemas.openxmlformats.org/officeDocument/2006/relationships/chart" Target="../charts/chart24.xml"/><Relationship Id="rId4" Type="http://schemas.openxmlformats.org/officeDocument/2006/relationships/chart" Target="../charts/chart26.xml"/></Relationships>
</file>

<file path=xl/drawings/_rels/drawing21.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2.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chart" Target="../charts/chart28.xml"/><Relationship Id="rId7" Type="http://schemas.openxmlformats.org/officeDocument/2006/relationships/chart" Target="../charts/chart29.xml"/><Relationship Id="rId2" Type="http://schemas.openxmlformats.org/officeDocument/2006/relationships/chart" Target="../charts/chart27.xml"/><Relationship Id="rId1" Type="http://schemas.openxmlformats.org/officeDocument/2006/relationships/image" Target="../media/image47.png"/><Relationship Id="rId6" Type="http://schemas.openxmlformats.org/officeDocument/2006/relationships/image" Target="../media/image50.png"/><Relationship Id="rId5" Type="http://schemas.openxmlformats.org/officeDocument/2006/relationships/image" Target="../media/image49.png"/><Relationship Id="rId10" Type="http://schemas.openxmlformats.org/officeDocument/2006/relationships/chart" Target="../charts/chart30.xml"/><Relationship Id="rId4" Type="http://schemas.openxmlformats.org/officeDocument/2006/relationships/image" Target="../media/image48.jpg"/><Relationship Id="rId9" Type="http://schemas.openxmlformats.org/officeDocument/2006/relationships/image" Target="../media/image52.png"/></Relationships>
</file>

<file path=xl/drawings/_rels/drawing23.xml.rels><?xml version="1.0" encoding="UTF-8" standalone="yes"?>
<Relationships xmlns="http://schemas.openxmlformats.org/package/2006/relationships"><Relationship Id="rId8" Type="http://schemas.openxmlformats.org/officeDocument/2006/relationships/image" Target="../media/image60.png"/><Relationship Id="rId3" Type="http://schemas.openxmlformats.org/officeDocument/2006/relationships/image" Target="../media/image55.png"/><Relationship Id="rId7" Type="http://schemas.openxmlformats.org/officeDocument/2006/relationships/image" Target="../media/image59.png"/><Relationship Id="rId2" Type="http://schemas.openxmlformats.org/officeDocument/2006/relationships/image" Target="../media/image54.png"/><Relationship Id="rId1" Type="http://schemas.openxmlformats.org/officeDocument/2006/relationships/image" Target="../media/image53.png"/><Relationship Id="rId6" Type="http://schemas.openxmlformats.org/officeDocument/2006/relationships/image" Target="../media/image58.png"/><Relationship Id="rId5" Type="http://schemas.openxmlformats.org/officeDocument/2006/relationships/image" Target="../media/image57.png"/><Relationship Id="rId4" Type="http://schemas.openxmlformats.org/officeDocument/2006/relationships/image" Target="../media/image56.png"/></Relationships>
</file>

<file path=xl/drawings/_rels/drawing24.xml.rels><?xml version="1.0" encoding="UTF-8" standalone="yes"?>
<Relationships xmlns="http://schemas.openxmlformats.org/package/2006/relationships"><Relationship Id="rId8" Type="http://schemas.openxmlformats.org/officeDocument/2006/relationships/image" Target="../media/image68.png"/><Relationship Id="rId13" Type="http://schemas.openxmlformats.org/officeDocument/2006/relationships/image" Target="../media/image73.png"/><Relationship Id="rId3" Type="http://schemas.openxmlformats.org/officeDocument/2006/relationships/image" Target="../media/image63.png"/><Relationship Id="rId7" Type="http://schemas.openxmlformats.org/officeDocument/2006/relationships/image" Target="../media/image67.png"/><Relationship Id="rId12" Type="http://schemas.openxmlformats.org/officeDocument/2006/relationships/image" Target="../media/image72.png"/><Relationship Id="rId2" Type="http://schemas.openxmlformats.org/officeDocument/2006/relationships/image" Target="../media/image62.png"/><Relationship Id="rId1" Type="http://schemas.openxmlformats.org/officeDocument/2006/relationships/image" Target="../media/image61.png"/><Relationship Id="rId6" Type="http://schemas.openxmlformats.org/officeDocument/2006/relationships/image" Target="../media/image66.png"/><Relationship Id="rId11" Type="http://schemas.openxmlformats.org/officeDocument/2006/relationships/image" Target="../media/image71.png"/><Relationship Id="rId5" Type="http://schemas.openxmlformats.org/officeDocument/2006/relationships/image" Target="../media/image65.png"/><Relationship Id="rId10" Type="http://schemas.openxmlformats.org/officeDocument/2006/relationships/image" Target="../media/image70.png"/><Relationship Id="rId4" Type="http://schemas.openxmlformats.org/officeDocument/2006/relationships/image" Target="../media/image64.png"/><Relationship Id="rId9" Type="http://schemas.openxmlformats.org/officeDocument/2006/relationships/image" Target="../media/image69.png"/><Relationship Id="rId14" Type="http://schemas.openxmlformats.org/officeDocument/2006/relationships/image" Target="../media/image74.png"/></Relationships>
</file>

<file path=xl/drawings/_rels/drawing25.xml.rels><?xml version="1.0" encoding="UTF-8" standalone="yes"?>
<Relationships xmlns="http://schemas.openxmlformats.org/package/2006/relationships"><Relationship Id="rId3" Type="http://schemas.openxmlformats.org/officeDocument/2006/relationships/image" Target="../media/image77.png"/><Relationship Id="rId7" Type="http://schemas.openxmlformats.org/officeDocument/2006/relationships/image" Target="../media/image81.png"/><Relationship Id="rId2" Type="http://schemas.openxmlformats.org/officeDocument/2006/relationships/image" Target="../media/image76.png"/><Relationship Id="rId1" Type="http://schemas.openxmlformats.org/officeDocument/2006/relationships/image" Target="../media/image75.png"/><Relationship Id="rId6" Type="http://schemas.openxmlformats.org/officeDocument/2006/relationships/image" Target="../media/image80.png"/><Relationship Id="rId5" Type="http://schemas.openxmlformats.org/officeDocument/2006/relationships/image" Target="../media/image79.png"/><Relationship Id="rId4" Type="http://schemas.openxmlformats.org/officeDocument/2006/relationships/image" Target="../media/image78.png"/></Relationships>
</file>

<file path=xl/drawings/_rels/drawing28.xml.rels><?xml version="1.0" encoding="UTF-8" standalone="yes"?>
<Relationships xmlns="http://schemas.openxmlformats.org/package/2006/relationships"><Relationship Id="rId1" Type="http://schemas.openxmlformats.org/officeDocument/2006/relationships/image" Target="../media/image82.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microsoft.com/office/2014/relationships/chartEx" Target="../charts/chartEx2.xml"/><Relationship Id="rId1" Type="http://schemas.microsoft.com/office/2014/relationships/chartEx" Target="../charts/chartEx1.xml"/><Relationship Id="rId4" Type="http://schemas.openxmlformats.org/officeDocument/2006/relationships/image" Target="../media/image8.png"/></Relationships>
</file>

<file path=xl/drawings/_rels/drawing31.xml.rels><?xml version="1.0" encoding="UTF-8" standalone="yes"?>
<Relationships xmlns="http://schemas.openxmlformats.org/package/2006/relationships"><Relationship Id="rId1" Type="http://schemas.openxmlformats.org/officeDocument/2006/relationships/image" Target="../media/image83.png"/></Relationships>
</file>

<file path=xl/drawings/_rels/drawing34.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 Id="rId5" Type="http://schemas.openxmlformats.org/officeDocument/2006/relationships/image" Target="../media/image88.png"/><Relationship Id="rId4" Type="http://schemas.openxmlformats.org/officeDocument/2006/relationships/image" Target="../media/image87.png"/></Relationships>
</file>

<file path=xl/drawings/_rels/drawing35.xml.rels><?xml version="1.0" encoding="UTF-8" standalone="yes"?>
<Relationships xmlns="http://schemas.openxmlformats.org/package/2006/relationships"><Relationship Id="rId1" Type="http://schemas.openxmlformats.org/officeDocument/2006/relationships/image" Target="../media/image89.png"/></Relationships>
</file>

<file path=xl/drawings/_rels/drawing36.xml.rels><?xml version="1.0" encoding="UTF-8" standalone="yes"?>
<Relationships xmlns="http://schemas.openxmlformats.org/package/2006/relationships"><Relationship Id="rId1" Type="http://schemas.openxmlformats.org/officeDocument/2006/relationships/image" Target="../media/image90.png"/></Relationships>
</file>

<file path=xl/drawings/_rels/drawing37.xml.rels><?xml version="1.0" encoding="UTF-8" standalone="yes"?>
<Relationships xmlns="http://schemas.openxmlformats.org/package/2006/relationships"><Relationship Id="rId1" Type="http://schemas.openxmlformats.org/officeDocument/2006/relationships/image" Target="../media/image91.png"/></Relationships>
</file>

<file path=xl/drawings/_rels/drawing38.xml.rels><?xml version="1.0" encoding="UTF-8" standalone="yes"?>
<Relationships xmlns="http://schemas.openxmlformats.org/package/2006/relationships"><Relationship Id="rId2" Type="http://schemas.openxmlformats.org/officeDocument/2006/relationships/image" Target="../media/image92.png"/><Relationship Id="rId1" Type="http://schemas.openxmlformats.org/officeDocument/2006/relationships/image" Target="../media/image91.png"/></Relationships>
</file>

<file path=xl/drawings/_rels/drawing39.xml.rels><?xml version="1.0" encoding="UTF-8" standalone="yes"?>
<Relationships xmlns="http://schemas.openxmlformats.org/package/2006/relationships"><Relationship Id="rId2" Type="http://schemas.openxmlformats.org/officeDocument/2006/relationships/image" Target="../media/image93.jpg"/><Relationship Id="rId1" Type="http://schemas.openxmlformats.org/officeDocument/2006/relationships/image" Target="../media/image91.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40.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1.png"/></Relationships>
</file>

<file path=xl/drawings/_rels/drawing41.xml.rels><?xml version="1.0" encoding="UTF-8" standalone="yes"?>
<Relationships xmlns="http://schemas.openxmlformats.org/package/2006/relationships"><Relationship Id="rId3" Type="http://schemas.openxmlformats.org/officeDocument/2006/relationships/image" Target="../media/image97.png"/><Relationship Id="rId7" Type="http://schemas.openxmlformats.org/officeDocument/2006/relationships/image" Target="../media/image101.png"/><Relationship Id="rId2" Type="http://schemas.openxmlformats.org/officeDocument/2006/relationships/image" Target="../media/image96.png"/><Relationship Id="rId1" Type="http://schemas.openxmlformats.org/officeDocument/2006/relationships/image" Target="../media/image95.png"/><Relationship Id="rId6" Type="http://schemas.openxmlformats.org/officeDocument/2006/relationships/image" Target="../media/image100.png"/><Relationship Id="rId5" Type="http://schemas.openxmlformats.org/officeDocument/2006/relationships/image" Target="../media/image99.png"/><Relationship Id="rId4" Type="http://schemas.openxmlformats.org/officeDocument/2006/relationships/image" Target="../media/image98.png"/></Relationships>
</file>

<file path=xl/drawings/_rels/drawing42.xml.rels><?xml version="1.0" encoding="UTF-8" standalone="yes"?>
<Relationships xmlns="http://schemas.openxmlformats.org/package/2006/relationships"><Relationship Id="rId1" Type="http://schemas.openxmlformats.org/officeDocument/2006/relationships/image" Target="../media/image102.png"/></Relationships>
</file>

<file path=xl/drawings/_rels/drawing43.xml.rels><?xml version="1.0" encoding="UTF-8" standalone="yes"?>
<Relationships xmlns="http://schemas.openxmlformats.org/package/2006/relationships"><Relationship Id="rId3" Type="http://schemas.openxmlformats.org/officeDocument/2006/relationships/image" Target="../media/image105.png"/><Relationship Id="rId2" Type="http://schemas.openxmlformats.org/officeDocument/2006/relationships/image" Target="../media/image104.jpeg"/><Relationship Id="rId1" Type="http://schemas.openxmlformats.org/officeDocument/2006/relationships/image" Target="../media/image103.png"/><Relationship Id="rId6" Type="http://schemas.openxmlformats.org/officeDocument/2006/relationships/image" Target="../media/image108.png"/><Relationship Id="rId5" Type="http://schemas.openxmlformats.org/officeDocument/2006/relationships/image" Target="../media/image107.png"/><Relationship Id="rId4" Type="http://schemas.openxmlformats.org/officeDocument/2006/relationships/image" Target="../media/image106.png"/></Relationships>
</file>

<file path=xl/drawings/_rels/drawing44.xml.rels><?xml version="1.0" encoding="UTF-8" standalone="yes"?>
<Relationships xmlns="http://schemas.openxmlformats.org/package/2006/relationships"><Relationship Id="rId13" Type="http://schemas.openxmlformats.org/officeDocument/2006/relationships/image" Target="../media/image121.png"/><Relationship Id="rId18" Type="http://schemas.openxmlformats.org/officeDocument/2006/relationships/image" Target="../media/image126.png"/><Relationship Id="rId26" Type="http://schemas.openxmlformats.org/officeDocument/2006/relationships/image" Target="../media/image134.png"/><Relationship Id="rId3" Type="http://schemas.openxmlformats.org/officeDocument/2006/relationships/image" Target="../media/image111.png"/><Relationship Id="rId21" Type="http://schemas.openxmlformats.org/officeDocument/2006/relationships/image" Target="../media/image129.png"/><Relationship Id="rId34" Type="http://schemas.openxmlformats.org/officeDocument/2006/relationships/image" Target="../media/image142.png"/><Relationship Id="rId7" Type="http://schemas.openxmlformats.org/officeDocument/2006/relationships/image" Target="../media/image115.png"/><Relationship Id="rId12" Type="http://schemas.openxmlformats.org/officeDocument/2006/relationships/image" Target="../media/image120.png"/><Relationship Id="rId17" Type="http://schemas.openxmlformats.org/officeDocument/2006/relationships/image" Target="../media/image125.png"/><Relationship Id="rId25" Type="http://schemas.openxmlformats.org/officeDocument/2006/relationships/image" Target="../media/image133.png"/><Relationship Id="rId33" Type="http://schemas.openxmlformats.org/officeDocument/2006/relationships/image" Target="../media/image141.png"/><Relationship Id="rId2" Type="http://schemas.openxmlformats.org/officeDocument/2006/relationships/image" Target="../media/image110.png"/><Relationship Id="rId16" Type="http://schemas.openxmlformats.org/officeDocument/2006/relationships/image" Target="../media/image124.png"/><Relationship Id="rId20" Type="http://schemas.openxmlformats.org/officeDocument/2006/relationships/image" Target="../media/image128.png"/><Relationship Id="rId29" Type="http://schemas.openxmlformats.org/officeDocument/2006/relationships/image" Target="../media/image137.png"/><Relationship Id="rId1" Type="http://schemas.openxmlformats.org/officeDocument/2006/relationships/image" Target="../media/image109.png"/><Relationship Id="rId6" Type="http://schemas.openxmlformats.org/officeDocument/2006/relationships/image" Target="../media/image114.png"/><Relationship Id="rId11" Type="http://schemas.openxmlformats.org/officeDocument/2006/relationships/image" Target="../media/image119.png"/><Relationship Id="rId24" Type="http://schemas.openxmlformats.org/officeDocument/2006/relationships/image" Target="../media/image132.png"/><Relationship Id="rId32" Type="http://schemas.openxmlformats.org/officeDocument/2006/relationships/image" Target="../media/image140.png"/><Relationship Id="rId5" Type="http://schemas.openxmlformats.org/officeDocument/2006/relationships/image" Target="../media/image113.png"/><Relationship Id="rId15" Type="http://schemas.openxmlformats.org/officeDocument/2006/relationships/image" Target="../media/image123.png"/><Relationship Id="rId23" Type="http://schemas.openxmlformats.org/officeDocument/2006/relationships/image" Target="../media/image131.png"/><Relationship Id="rId28" Type="http://schemas.openxmlformats.org/officeDocument/2006/relationships/image" Target="../media/image136.png"/><Relationship Id="rId10" Type="http://schemas.openxmlformats.org/officeDocument/2006/relationships/image" Target="../media/image118.png"/><Relationship Id="rId19" Type="http://schemas.openxmlformats.org/officeDocument/2006/relationships/image" Target="../media/image127.png"/><Relationship Id="rId31" Type="http://schemas.openxmlformats.org/officeDocument/2006/relationships/image" Target="../media/image139.png"/><Relationship Id="rId4" Type="http://schemas.openxmlformats.org/officeDocument/2006/relationships/image" Target="../media/image112.png"/><Relationship Id="rId9" Type="http://schemas.openxmlformats.org/officeDocument/2006/relationships/image" Target="../media/image117.png"/><Relationship Id="rId14" Type="http://schemas.openxmlformats.org/officeDocument/2006/relationships/image" Target="../media/image122.png"/><Relationship Id="rId22" Type="http://schemas.openxmlformats.org/officeDocument/2006/relationships/image" Target="../media/image130.png"/><Relationship Id="rId27" Type="http://schemas.openxmlformats.org/officeDocument/2006/relationships/image" Target="../media/image135.png"/><Relationship Id="rId30" Type="http://schemas.openxmlformats.org/officeDocument/2006/relationships/image" Target="../media/image138.png"/><Relationship Id="rId35" Type="http://schemas.openxmlformats.org/officeDocument/2006/relationships/image" Target="../media/image143.png"/><Relationship Id="rId8" Type="http://schemas.openxmlformats.org/officeDocument/2006/relationships/image" Target="../media/image116.png"/></Relationships>
</file>

<file path=xl/drawings/_rels/drawing45.xml.rels><?xml version="1.0" encoding="UTF-8" standalone="yes"?>
<Relationships xmlns="http://schemas.openxmlformats.org/package/2006/relationships"><Relationship Id="rId1" Type="http://schemas.openxmlformats.org/officeDocument/2006/relationships/chart" Target="../charts/chart31.xml"/></Relationships>
</file>

<file path=xl/drawings/_rels/drawing46.xml.rels><?xml version="1.0" encoding="UTF-8" standalone="yes"?>
<Relationships xmlns="http://schemas.openxmlformats.org/package/2006/relationships"><Relationship Id="rId3" Type="http://schemas.openxmlformats.org/officeDocument/2006/relationships/chart" Target="../charts/chart33.xml"/><Relationship Id="rId2" Type="http://schemas.openxmlformats.org/officeDocument/2006/relationships/image" Target="../media/image144.png"/><Relationship Id="rId1" Type="http://schemas.openxmlformats.org/officeDocument/2006/relationships/chart" Target="../charts/chart32.xml"/><Relationship Id="rId4" Type="http://schemas.openxmlformats.org/officeDocument/2006/relationships/image" Target="../media/image145.png"/></Relationships>
</file>

<file path=xl/drawings/_rels/drawing47.xml.rels><?xml version="1.0" encoding="UTF-8" standalone="yes"?>
<Relationships xmlns="http://schemas.openxmlformats.org/package/2006/relationships"><Relationship Id="rId2" Type="http://schemas.openxmlformats.org/officeDocument/2006/relationships/image" Target="../media/image146.png"/><Relationship Id="rId1" Type="http://schemas.openxmlformats.org/officeDocument/2006/relationships/chart" Target="../charts/chart34.xml"/></Relationships>
</file>

<file path=xl/drawings/_rels/drawing48.xml.rels><?xml version="1.0" encoding="UTF-8" standalone="yes"?>
<Relationships xmlns="http://schemas.openxmlformats.org/package/2006/relationships"><Relationship Id="rId3" Type="http://schemas.openxmlformats.org/officeDocument/2006/relationships/image" Target="../media/image147.png"/><Relationship Id="rId2" Type="http://schemas.openxmlformats.org/officeDocument/2006/relationships/chart" Target="../charts/chart36.xml"/><Relationship Id="rId1" Type="http://schemas.openxmlformats.org/officeDocument/2006/relationships/chart" Target="../charts/chart35.xml"/></Relationships>
</file>

<file path=xl/drawings/_rels/drawing49.xml.rels><?xml version="1.0" encoding="UTF-8" standalone="yes"?>
<Relationships xmlns="http://schemas.openxmlformats.org/package/2006/relationships"><Relationship Id="rId2" Type="http://schemas.openxmlformats.org/officeDocument/2006/relationships/image" Target="../media/image149.png"/><Relationship Id="rId1" Type="http://schemas.openxmlformats.org/officeDocument/2006/relationships/image" Target="../media/image148.png"/></Relationships>
</file>

<file path=xl/drawings/_rels/drawing50.xml.rels><?xml version="1.0" encoding="UTF-8" standalone="yes"?>
<Relationships xmlns="http://schemas.openxmlformats.org/package/2006/relationships"><Relationship Id="rId8" Type="http://schemas.openxmlformats.org/officeDocument/2006/relationships/image" Target="../media/image157.png"/><Relationship Id="rId3" Type="http://schemas.openxmlformats.org/officeDocument/2006/relationships/image" Target="../media/image152.png"/><Relationship Id="rId7" Type="http://schemas.openxmlformats.org/officeDocument/2006/relationships/image" Target="../media/image156.png"/><Relationship Id="rId2" Type="http://schemas.openxmlformats.org/officeDocument/2006/relationships/image" Target="../media/image151.png"/><Relationship Id="rId1" Type="http://schemas.openxmlformats.org/officeDocument/2006/relationships/image" Target="../media/image150.png"/><Relationship Id="rId6" Type="http://schemas.openxmlformats.org/officeDocument/2006/relationships/image" Target="../media/image155.png"/><Relationship Id="rId5" Type="http://schemas.openxmlformats.org/officeDocument/2006/relationships/image" Target="../media/image154.png"/><Relationship Id="rId4" Type="http://schemas.openxmlformats.org/officeDocument/2006/relationships/image" Target="../media/image153.png"/></Relationships>
</file>

<file path=xl/drawings/_rels/drawing51.xml.rels><?xml version="1.0" encoding="UTF-8" standalone="yes"?>
<Relationships xmlns="http://schemas.openxmlformats.org/package/2006/relationships"><Relationship Id="rId3" Type="http://schemas.openxmlformats.org/officeDocument/2006/relationships/image" Target="../media/image160.png"/><Relationship Id="rId2" Type="http://schemas.openxmlformats.org/officeDocument/2006/relationships/image" Target="../media/image159.png"/><Relationship Id="rId1" Type="http://schemas.openxmlformats.org/officeDocument/2006/relationships/image" Target="../media/image158.png"/></Relationships>
</file>

<file path=xl/drawings/_rels/drawing52.xml.rels><?xml version="1.0" encoding="UTF-8" standalone="yes"?>
<Relationships xmlns="http://schemas.openxmlformats.org/package/2006/relationships"><Relationship Id="rId3" Type="http://schemas.openxmlformats.org/officeDocument/2006/relationships/image" Target="../media/image160.png"/><Relationship Id="rId2" Type="http://schemas.openxmlformats.org/officeDocument/2006/relationships/image" Target="../media/image159.png"/><Relationship Id="rId1" Type="http://schemas.openxmlformats.org/officeDocument/2006/relationships/image" Target="../media/image158.png"/></Relationships>
</file>

<file path=xl/drawings/_rels/drawing53.xml.rels><?xml version="1.0" encoding="UTF-8" standalone="yes"?>
<Relationships xmlns="http://schemas.openxmlformats.org/package/2006/relationships"><Relationship Id="rId2" Type="http://schemas.openxmlformats.org/officeDocument/2006/relationships/image" Target="../media/image158.png"/><Relationship Id="rId1" Type="http://schemas.openxmlformats.org/officeDocument/2006/relationships/image" Target="../media/image161.png"/></Relationships>
</file>

<file path=xl/drawings/_rels/drawing54.xml.rels><?xml version="1.0" encoding="UTF-8" standalone="yes"?>
<Relationships xmlns="http://schemas.openxmlformats.org/package/2006/relationships"><Relationship Id="rId1" Type="http://schemas.openxmlformats.org/officeDocument/2006/relationships/image" Target="../media/image158.png"/></Relationships>
</file>

<file path=xl/drawings/_rels/drawing55.xml.rels><?xml version="1.0" encoding="UTF-8" standalone="yes"?>
<Relationships xmlns="http://schemas.openxmlformats.org/package/2006/relationships"><Relationship Id="rId1" Type="http://schemas.openxmlformats.org/officeDocument/2006/relationships/image" Target="../media/image162.png"/></Relationships>
</file>

<file path=xl/drawings/_rels/drawing56.xml.rels><?xml version="1.0" encoding="UTF-8" standalone="yes"?>
<Relationships xmlns="http://schemas.openxmlformats.org/package/2006/relationships"><Relationship Id="rId2" Type="http://schemas.openxmlformats.org/officeDocument/2006/relationships/image" Target="../media/image164.png"/><Relationship Id="rId1" Type="http://schemas.openxmlformats.org/officeDocument/2006/relationships/image" Target="../media/image163.png"/></Relationships>
</file>

<file path=xl/drawings/_rels/drawing57.xml.rels><?xml version="1.0" encoding="UTF-8" standalone="yes"?>
<Relationships xmlns="http://schemas.openxmlformats.org/package/2006/relationships"><Relationship Id="rId8" Type="http://schemas.openxmlformats.org/officeDocument/2006/relationships/image" Target="../media/image172.png"/><Relationship Id="rId3" Type="http://schemas.openxmlformats.org/officeDocument/2006/relationships/image" Target="../media/image167.jpeg"/><Relationship Id="rId7" Type="http://schemas.openxmlformats.org/officeDocument/2006/relationships/image" Target="../media/image171.png"/><Relationship Id="rId2" Type="http://schemas.openxmlformats.org/officeDocument/2006/relationships/image" Target="../media/image166.jpeg"/><Relationship Id="rId1" Type="http://schemas.openxmlformats.org/officeDocument/2006/relationships/image" Target="../media/image165.jpeg"/><Relationship Id="rId6" Type="http://schemas.openxmlformats.org/officeDocument/2006/relationships/image" Target="../media/image170.png"/><Relationship Id="rId5" Type="http://schemas.openxmlformats.org/officeDocument/2006/relationships/image" Target="../media/image169.png"/><Relationship Id="rId4" Type="http://schemas.openxmlformats.org/officeDocument/2006/relationships/image" Target="../media/image168.png"/><Relationship Id="rId9" Type="http://schemas.openxmlformats.org/officeDocument/2006/relationships/image" Target="../media/image173.png"/></Relationships>
</file>

<file path=xl/drawings/_rels/drawing58.xml.rels><?xml version="1.0" encoding="UTF-8" standalone="yes"?>
<Relationships xmlns="http://schemas.openxmlformats.org/package/2006/relationships"><Relationship Id="rId3" Type="http://schemas.openxmlformats.org/officeDocument/2006/relationships/image" Target="../media/image176.png"/><Relationship Id="rId2" Type="http://schemas.openxmlformats.org/officeDocument/2006/relationships/image" Target="../media/image175.png"/><Relationship Id="rId1" Type="http://schemas.openxmlformats.org/officeDocument/2006/relationships/image" Target="../media/image174.png"/><Relationship Id="rId4" Type="http://schemas.openxmlformats.org/officeDocument/2006/relationships/image" Target="../media/image177.png"/></Relationships>
</file>

<file path=xl/drawings/_rels/drawing6.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60.xml.rels><?xml version="1.0" encoding="UTF-8" standalone="yes"?>
<Relationships xmlns="http://schemas.openxmlformats.org/package/2006/relationships"><Relationship Id="rId2" Type="http://schemas.openxmlformats.org/officeDocument/2006/relationships/image" Target="../media/image179.png"/><Relationship Id="rId1" Type="http://schemas.openxmlformats.org/officeDocument/2006/relationships/image" Target="../media/image178.png"/></Relationships>
</file>

<file path=xl/drawings/_rels/drawing61.xml.rels><?xml version="1.0" encoding="UTF-8" standalone="yes"?>
<Relationships xmlns="http://schemas.openxmlformats.org/package/2006/relationships"><Relationship Id="rId1" Type="http://schemas.openxmlformats.org/officeDocument/2006/relationships/image" Target="../media/image180.png"/></Relationships>
</file>

<file path=xl/drawings/_rels/drawing63.xml.rels><?xml version="1.0" encoding="UTF-8" standalone="yes"?>
<Relationships xmlns="http://schemas.openxmlformats.org/package/2006/relationships"><Relationship Id="rId8" Type="http://schemas.openxmlformats.org/officeDocument/2006/relationships/image" Target="../media/image188.png"/><Relationship Id="rId3" Type="http://schemas.openxmlformats.org/officeDocument/2006/relationships/image" Target="../media/image183.png"/><Relationship Id="rId7" Type="http://schemas.openxmlformats.org/officeDocument/2006/relationships/image" Target="../media/image187.png"/><Relationship Id="rId2" Type="http://schemas.openxmlformats.org/officeDocument/2006/relationships/image" Target="../media/image182.png"/><Relationship Id="rId1" Type="http://schemas.openxmlformats.org/officeDocument/2006/relationships/image" Target="../media/image181.png"/><Relationship Id="rId6" Type="http://schemas.openxmlformats.org/officeDocument/2006/relationships/image" Target="../media/image186.png"/><Relationship Id="rId5" Type="http://schemas.openxmlformats.org/officeDocument/2006/relationships/image" Target="../media/image185.png"/><Relationship Id="rId4" Type="http://schemas.openxmlformats.org/officeDocument/2006/relationships/image" Target="../media/image184.png"/><Relationship Id="rId9" Type="http://schemas.openxmlformats.org/officeDocument/2006/relationships/image" Target="../media/image189.png"/></Relationships>
</file>

<file path=xl/drawings/_rels/drawing64.xml.rels><?xml version="1.0" encoding="UTF-8" standalone="yes"?>
<Relationships xmlns="http://schemas.openxmlformats.org/package/2006/relationships"><Relationship Id="rId1" Type="http://schemas.openxmlformats.org/officeDocument/2006/relationships/image" Target="../media/image190.png"/></Relationships>
</file>

<file path=xl/drawings/_rels/drawing65.xml.rels><?xml version="1.0" encoding="UTF-8" standalone="yes"?>
<Relationships xmlns="http://schemas.openxmlformats.org/package/2006/relationships"><Relationship Id="rId3" Type="http://schemas.openxmlformats.org/officeDocument/2006/relationships/image" Target="../media/image193.png"/><Relationship Id="rId2" Type="http://schemas.openxmlformats.org/officeDocument/2006/relationships/image" Target="../media/image192.png"/><Relationship Id="rId1" Type="http://schemas.openxmlformats.org/officeDocument/2006/relationships/image" Target="../media/image191.png"/><Relationship Id="rId4" Type="http://schemas.openxmlformats.org/officeDocument/2006/relationships/image" Target="../media/image194.png"/></Relationships>
</file>

<file path=xl/drawings/_rels/drawing66.xml.rels><?xml version="1.0" encoding="UTF-8" standalone="yes"?>
<Relationships xmlns="http://schemas.openxmlformats.org/package/2006/relationships"><Relationship Id="rId1" Type="http://schemas.openxmlformats.org/officeDocument/2006/relationships/image" Target="../media/image195.png"/></Relationships>
</file>

<file path=xl/drawings/_rels/drawing67.xml.rels><?xml version="1.0" encoding="UTF-8" standalone="yes"?>
<Relationships xmlns="http://schemas.openxmlformats.org/package/2006/relationships"><Relationship Id="rId3" Type="http://schemas.openxmlformats.org/officeDocument/2006/relationships/image" Target="../media/image198.png"/><Relationship Id="rId2" Type="http://schemas.openxmlformats.org/officeDocument/2006/relationships/image" Target="../media/image197.png"/><Relationship Id="rId1" Type="http://schemas.openxmlformats.org/officeDocument/2006/relationships/image" Target="../media/image196.png"/></Relationships>
</file>

<file path=xl/drawings/_rels/drawing8.xml.rels><?xml version="1.0" encoding="UTF-8" standalone="yes"?>
<Relationships xmlns="http://schemas.openxmlformats.org/package/2006/relationships"><Relationship Id="rId8" Type="http://schemas.openxmlformats.org/officeDocument/2006/relationships/chart" Target="../charts/chart6.xml"/><Relationship Id="rId13" Type="http://schemas.openxmlformats.org/officeDocument/2006/relationships/image" Target="../media/image21.png"/><Relationship Id="rId3" Type="http://schemas.openxmlformats.org/officeDocument/2006/relationships/chart" Target="../charts/chart2.xml"/><Relationship Id="rId7" Type="http://schemas.openxmlformats.org/officeDocument/2006/relationships/image" Target="../media/image19.png"/><Relationship Id="rId12" Type="http://schemas.openxmlformats.org/officeDocument/2006/relationships/image" Target="../media/image20.png"/><Relationship Id="rId2" Type="http://schemas.openxmlformats.org/officeDocument/2006/relationships/chart" Target="../charts/chart1.xml"/><Relationship Id="rId16" Type="http://schemas.openxmlformats.org/officeDocument/2006/relationships/chart" Target="../charts/chart12.xml"/><Relationship Id="rId1" Type="http://schemas.openxmlformats.org/officeDocument/2006/relationships/image" Target="../media/image18.png"/><Relationship Id="rId6" Type="http://schemas.openxmlformats.org/officeDocument/2006/relationships/chart" Target="../charts/chart5.xml"/><Relationship Id="rId11" Type="http://schemas.openxmlformats.org/officeDocument/2006/relationships/chart" Target="../charts/chart9.xml"/><Relationship Id="rId5" Type="http://schemas.openxmlformats.org/officeDocument/2006/relationships/chart" Target="../charts/chart4.xml"/><Relationship Id="rId15" Type="http://schemas.openxmlformats.org/officeDocument/2006/relationships/chart" Target="../charts/chart11.xml"/><Relationship Id="rId10" Type="http://schemas.openxmlformats.org/officeDocument/2006/relationships/chart" Target="../charts/chart8.xml"/><Relationship Id="rId4" Type="http://schemas.openxmlformats.org/officeDocument/2006/relationships/chart" Target="../charts/chart3.xml"/><Relationship Id="rId9" Type="http://schemas.openxmlformats.org/officeDocument/2006/relationships/chart" Target="../charts/chart7.xml"/><Relationship Id="rId14" Type="http://schemas.openxmlformats.org/officeDocument/2006/relationships/chart" Target="../charts/chart10.xml"/></Relationships>
</file>

<file path=xl/drawings/_rels/drawing9.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1</xdr:col>
      <xdr:colOff>512379</xdr:colOff>
      <xdr:row>103</xdr:row>
      <xdr:rowOff>13138</xdr:rowOff>
    </xdr:from>
    <xdr:to>
      <xdr:col>4</xdr:col>
      <xdr:colOff>45983</xdr:colOff>
      <xdr:row>105</xdr:row>
      <xdr:rowOff>144517</xdr:rowOff>
    </xdr:to>
    <xdr:cxnSp macro="">
      <xdr:nvCxnSpPr>
        <xdr:cNvPr id="3" name="직선 화살표 연결선 2">
          <a:extLst>
            <a:ext uri="{FF2B5EF4-FFF2-40B4-BE49-F238E27FC236}">
              <a16:creationId xmlns:a16="http://schemas.microsoft.com/office/drawing/2014/main" id="{00000000-0008-0000-0000-000003000000}"/>
            </a:ext>
          </a:extLst>
        </xdr:cNvPr>
        <xdr:cNvCxnSpPr/>
      </xdr:nvCxnSpPr>
      <xdr:spPr>
        <a:xfrm flipV="1">
          <a:off x="512379" y="20902448"/>
          <a:ext cx="1583121" cy="5517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1003788</xdr:colOff>
      <xdr:row>143</xdr:row>
      <xdr:rowOff>0</xdr:rowOff>
    </xdr:from>
    <xdr:to>
      <xdr:col>7</xdr:col>
      <xdr:colOff>367710</xdr:colOff>
      <xdr:row>166</xdr:row>
      <xdr:rowOff>28528</xdr:rowOff>
    </xdr:to>
    <xdr:pic>
      <xdr:nvPicPr>
        <xdr:cNvPr id="2" name="그림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003788" y="29622750"/>
          <a:ext cx="7154273" cy="4915586"/>
        </a:xfrm>
        <a:prstGeom prst="rect">
          <a:avLst/>
        </a:prstGeom>
      </xdr:spPr>
    </xdr:pic>
    <xdr:clientData/>
  </xdr:twoCellAnchor>
  <xdr:twoCellAnchor editAs="oneCell">
    <xdr:from>
      <xdr:col>4</xdr:col>
      <xdr:colOff>1077057</xdr:colOff>
      <xdr:row>1</xdr:row>
      <xdr:rowOff>7204</xdr:rowOff>
    </xdr:from>
    <xdr:to>
      <xdr:col>12</xdr:col>
      <xdr:colOff>621616</xdr:colOff>
      <xdr:row>10</xdr:row>
      <xdr:rowOff>64833</xdr:rowOff>
    </xdr:to>
    <xdr:pic>
      <xdr:nvPicPr>
        <xdr:cNvPr id="4" name="그림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stretch>
          <a:fillRect/>
        </a:stretch>
      </xdr:blipFill>
      <xdr:spPr>
        <a:xfrm>
          <a:off x="3458307" y="219685"/>
          <a:ext cx="6944750" cy="1969956"/>
        </a:xfrm>
        <a:prstGeom prst="rect">
          <a:avLst/>
        </a:prstGeom>
      </xdr:spPr>
    </xdr:pic>
    <xdr:clientData/>
  </xdr:twoCellAnchor>
  <xdr:twoCellAnchor>
    <xdr:from>
      <xdr:col>3</xdr:col>
      <xdr:colOff>1303735</xdr:colOff>
      <xdr:row>183</xdr:row>
      <xdr:rowOff>29765</xdr:rowOff>
    </xdr:from>
    <xdr:to>
      <xdr:col>4</xdr:col>
      <xdr:colOff>1899047</xdr:colOff>
      <xdr:row>188</xdr:row>
      <xdr:rowOff>41671</xdr:rowOff>
    </xdr:to>
    <xdr:cxnSp macro="">
      <xdr:nvCxnSpPr>
        <xdr:cNvPr id="8" name="직선 화살표 연결선 7">
          <a:extLst>
            <a:ext uri="{FF2B5EF4-FFF2-40B4-BE49-F238E27FC236}">
              <a16:creationId xmlns:a16="http://schemas.microsoft.com/office/drawing/2014/main" id="{00000000-0008-0000-0000-000008000000}"/>
            </a:ext>
          </a:extLst>
        </xdr:cNvPr>
        <xdr:cNvCxnSpPr/>
      </xdr:nvCxnSpPr>
      <xdr:spPr>
        <a:xfrm flipV="1">
          <a:off x="2988469" y="38302406"/>
          <a:ext cx="1910953" cy="10537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2029556</xdr:colOff>
      <xdr:row>250</xdr:row>
      <xdr:rowOff>14654</xdr:rowOff>
    </xdr:from>
    <xdr:to>
      <xdr:col>5</xdr:col>
      <xdr:colOff>659423</xdr:colOff>
      <xdr:row>259</xdr:row>
      <xdr:rowOff>109903</xdr:rowOff>
    </xdr:to>
    <xdr:sp macro="" textlink="">
      <xdr:nvSpPr>
        <xdr:cNvPr id="7" name="타원 6">
          <a:extLst>
            <a:ext uri="{FF2B5EF4-FFF2-40B4-BE49-F238E27FC236}">
              <a16:creationId xmlns:a16="http://schemas.microsoft.com/office/drawing/2014/main" id="{00000000-0008-0000-0000-000007000000}"/>
            </a:ext>
          </a:extLst>
        </xdr:cNvPr>
        <xdr:cNvSpPr/>
      </xdr:nvSpPr>
      <xdr:spPr>
        <a:xfrm>
          <a:off x="5304691" y="53222769"/>
          <a:ext cx="2623040" cy="200757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xdr:col>
      <xdr:colOff>0</xdr:colOff>
      <xdr:row>269</xdr:row>
      <xdr:rowOff>0</xdr:rowOff>
    </xdr:from>
    <xdr:to>
      <xdr:col>4</xdr:col>
      <xdr:colOff>1734313</xdr:colOff>
      <xdr:row>282</xdr:row>
      <xdr:rowOff>86117</xdr:rowOff>
    </xdr:to>
    <xdr:pic>
      <xdr:nvPicPr>
        <xdr:cNvPr id="9" name="그림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581150" y="56673750"/>
          <a:ext cx="5468113" cy="2810267"/>
        </a:xfrm>
        <a:prstGeom prst="rect">
          <a:avLst/>
        </a:prstGeom>
      </xdr:spPr>
    </xdr:pic>
    <xdr:clientData/>
  </xdr:twoCellAnchor>
  <xdr:twoCellAnchor>
    <xdr:from>
      <xdr:col>2</xdr:col>
      <xdr:colOff>73269</xdr:colOff>
      <xdr:row>249</xdr:row>
      <xdr:rowOff>154782</xdr:rowOff>
    </xdr:from>
    <xdr:to>
      <xdr:col>4</xdr:col>
      <xdr:colOff>1351359</xdr:colOff>
      <xdr:row>257</xdr:row>
      <xdr:rowOff>117232</xdr:rowOff>
    </xdr:to>
    <xdr:cxnSp macro="">
      <xdr:nvCxnSpPr>
        <xdr:cNvPr id="6" name="직선 화살표 연결선 5">
          <a:extLst>
            <a:ext uri="{FF2B5EF4-FFF2-40B4-BE49-F238E27FC236}">
              <a16:creationId xmlns:a16="http://schemas.microsoft.com/office/drawing/2014/main" id="{00000000-0008-0000-0000-000006000000}"/>
            </a:ext>
          </a:extLst>
        </xdr:cNvPr>
        <xdr:cNvCxnSpPr/>
      </xdr:nvCxnSpPr>
      <xdr:spPr>
        <a:xfrm flipV="1">
          <a:off x="2656925" y="52179141"/>
          <a:ext cx="4010575" cy="162932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1290911</xdr:colOff>
      <xdr:row>250</xdr:row>
      <xdr:rowOff>14654</xdr:rowOff>
    </xdr:from>
    <xdr:to>
      <xdr:col>4</xdr:col>
      <xdr:colOff>1321593</xdr:colOff>
      <xdr:row>254</xdr:row>
      <xdr:rowOff>101203</xdr:rowOff>
    </xdr:to>
    <xdr:cxnSp macro="">
      <xdr:nvCxnSpPr>
        <xdr:cNvPr id="13" name="직선 화살표 연결선 12">
          <a:extLst>
            <a:ext uri="{FF2B5EF4-FFF2-40B4-BE49-F238E27FC236}">
              <a16:creationId xmlns:a16="http://schemas.microsoft.com/office/drawing/2014/main" id="{00000000-0008-0000-0000-00000D000000}"/>
            </a:ext>
          </a:extLst>
        </xdr:cNvPr>
        <xdr:cNvCxnSpPr>
          <a:stCxn id="7" idx="0"/>
        </xdr:cNvCxnSpPr>
      </xdr:nvCxnSpPr>
      <xdr:spPr>
        <a:xfrm>
          <a:off x="6607052" y="52247373"/>
          <a:ext cx="30682" cy="91998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17</xdr:col>
      <xdr:colOff>304094</xdr:colOff>
      <xdr:row>6</xdr:row>
      <xdr:rowOff>71229</xdr:rowOff>
    </xdr:to>
    <xdr:pic>
      <xdr:nvPicPr>
        <xdr:cNvPr id="18" name="그림 17">
          <a:extLst>
            <a:ext uri="{FF2B5EF4-FFF2-40B4-BE49-F238E27FC236}">
              <a16:creationId xmlns:a16="http://schemas.microsoft.com/office/drawing/2014/main" id="{00000000-0008-0000-0B00-000012000000}"/>
            </a:ext>
          </a:extLst>
        </xdr:cNvPr>
        <xdr:cNvPicPr>
          <a:picLocks noChangeAspect="1"/>
        </xdr:cNvPicPr>
      </xdr:nvPicPr>
      <xdr:blipFill>
        <a:blip xmlns:r="http://schemas.openxmlformats.org/officeDocument/2006/relationships" r:embed="rId1"/>
        <a:stretch>
          <a:fillRect/>
        </a:stretch>
      </xdr:blipFill>
      <xdr:spPr>
        <a:xfrm>
          <a:off x="6887308" y="212481"/>
          <a:ext cx="5439534" cy="1133633"/>
        </a:xfrm>
        <a:prstGeom prst="rect">
          <a:avLst/>
        </a:prstGeom>
      </xdr:spPr>
    </xdr:pic>
    <xdr:clientData/>
  </xdr:twoCellAnchor>
  <xdr:twoCellAnchor>
    <xdr:from>
      <xdr:col>2</xdr:col>
      <xdr:colOff>652096</xdr:colOff>
      <xdr:row>8</xdr:row>
      <xdr:rowOff>163390</xdr:rowOff>
    </xdr:from>
    <xdr:to>
      <xdr:col>9</xdr:col>
      <xdr:colOff>402981</xdr:colOff>
      <xdr:row>26</xdr:row>
      <xdr:rowOff>144340</xdr:rowOff>
    </xdr:to>
    <xdr:graphicFrame macro="">
      <xdr:nvGraphicFramePr>
        <xdr:cNvPr id="19" name="차트 18">
          <a:extLst>
            <a:ext uri="{FF2B5EF4-FFF2-40B4-BE49-F238E27FC236}">
              <a16:creationId xmlns:a16="http://schemas.microsoft.com/office/drawing/2014/main" id="{00000000-0008-0000-0B00-00001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688730</xdr:colOff>
      <xdr:row>9</xdr:row>
      <xdr:rowOff>0</xdr:rowOff>
    </xdr:from>
    <xdr:to>
      <xdr:col>20</xdr:col>
      <xdr:colOff>327003</xdr:colOff>
      <xdr:row>14</xdr:row>
      <xdr:rowOff>90282</xdr:rowOff>
    </xdr:to>
    <xdr:pic>
      <xdr:nvPicPr>
        <xdr:cNvPr id="20" name="그림 19">
          <a:extLst>
            <a:ext uri="{FF2B5EF4-FFF2-40B4-BE49-F238E27FC236}">
              <a16:creationId xmlns:a16="http://schemas.microsoft.com/office/drawing/2014/main" id="{00000000-0008-0000-0B00-000014000000}"/>
            </a:ext>
          </a:extLst>
        </xdr:cNvPr>
        <xdr:cNvPicPr>
          <a:picLocks noChangeAspect="1"/>
        </xdr:cNvPicPr>
      </xdr:nvPicPr>
      <xdr:blipFill>
        <a:blip xmlns:r="http://schemas.openxmlformats.org/officeDocument/2006/relationships" r:embed="rId3"/>
        <a:stretch>
          <a:fillRect/>
        </a:stretch>
      </xdr:blipFill>
      <xdr:spPr>
        <a:xfrm>
          <a:off x="7576038" y="1912327"/>
          <a:ext cx="6839905" cy="1152686"/>
        </a:xfrm>
        <a:prstGeom prst="rect">
          <a:avLst/>
        </a:prstGeom>
      </xdr:spPr>
    </xdr:pic>
    <xdr:clientData/>
  </xdr:twoCellAnchor>
  <xdr:twoCellAnchor editAs="oneCell">
    <xdr:from>
      <xdr:col>2</xdr:col>
      <xdr:colOff>0</xdr:colOff>
      <xdr:row>82</xdr:row>
      <xdr:rowOff>0</xdr:rowOff>
    </xdr:from>
    <xdr:to>
      <xdr:col>13</xdr:col>
      <xdr:colOff>344831</xdr:colOff>
      <xdr:row>100</xdr:row>
      <xdr:rowOff>16673</xdr:rowOff>
    </xdr:to>
    <xdr:pic>
      <xdr:nvPicPr>
        <xdr:cNvPr id="2" name="그림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4"/>
        <a:stretch>
          <a:fillRect/>
        </a:stretch>
      </xdr:blipFill>
      <xdr:spPr>
        <a:xfrm>
          <a:off x="1374913" y="16979348"/>
          <a:ext cx="7906853" cy="3743847"/>
        </a:xfrm>
        <a:prstGeom prst="rect">
          <a:avLst/>
        </a:prstGeom>
      </xdr:spPr>
    </xdr:pic>
    <xdr:clientData/>
  </xdr:twoCellAnchor>
  <xdr:twoCellAnchor editAs="oneCell">
    <xdr:from>
      <xdr:col>2</xdr:col>
      <xdr:colOff>0</xdr:colOff>
      <xdr:row>104</xdr:row>
      <xdr:rowOff>0</xdr:rowOff>
    </xdr:from>
    <xdr:to>
      <xdr:col>12</xdr:col>
      <xdr:colOff>414131</xdr:colOff>
      <xdr:row>128</xdr:row>
      <xdr:rowOff>95938</xdr:rowOff>
    </xdr:to>
    <xdr:pic>
      <xdr:nvPicPr>
        <xdr:cNvPr id="3" name="그림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5"/>
        <a:stretch>
          <a:fillRect/>
        </a:stretch>
      </xdr:blipFill>
      <xdr:spPr>
        <a:xfrm>
          <a:off x="1374913" y="21534783"/>
          <a:ext cx="7288696" cy="5065503"/>
        </a:xfrm>
        <a:prstGeom prst="rect">
          <a:avLst/>
        </a:prstGeom>
      </xdr:spPr>
    </xdr:pic>
    <xdr:clientData/>
  </xdr:twoCellAnchor>
  <xdr:twoCellAnchor>
    <xdr:from>
      <xdr:col>18</xdr:col>
      <xdr:colOff>157370</xdr:colOff>
      <xdr:row>109</xdr:row>
      <xdr:rowOff>139975</xdr:rowOff>
    </xdr:from>
    <xdr:to>
      <xdr:col>24</xdr:col>
      <xdr:colOff>289891</xdr:colOff>
      <xdr:row>122</xdr:row>
      <xdr:rowOff>191327</xdr:rowOff>
    </xdr:to>
    <xdr:graphicFrame macro="">
      <xdr:nvGraphicFramePr>
        <xdr:cNvPr id="6" name="차트 5">
          <a:extLst>
            <a:ext uri="{FF2B5EF4-FFF2-40B4-BE49-F238E27FC236}">
              <a16:creationId xmlns:a16="http://schemas.microsoft.com/office/drawing/2014/main" id="{00000000-0008-0000-0B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356153</xdr:colOff>
      <xdr:row>125</xdr:row>
      <xdr:rowOff>198783</xdr:rowOff>
    </xdr:from>
    <xdr:to>
      <xdr:col>10</xdr:col>
      <xdr:colOff>422414</xdr:colOff>
      <xdr:row>128</xdr:row>
      <xdr:rowOff>8282</xdr:rowOff>
    </xdr:to>
    <xdr:sp macro="" textlink="">
      <xdr:nvSpPr>
        <xdr:cNvPr id="7" name="TextBox 6">
          <a:extLst>
            <a:ext uri="{FF2B5EF4-FFF2-40B4-BE49-F238E27FC236}">
              <a16:creationId xmlns:a16="http://schemas.microsoft.com/office/drawing/2014/main" id="{00000000-0008-0000-0B00-000007000000}"/>
            </a:ext>
          </a:extLst>
        </xdr:cNvPr>
        <xdr:cNvSpPr txBox="1"/>
      </xdr:nvSpPr>
      <xdr:spPr>
        <a:xfrm>
          <a:off x="6543262" y="26081935"/>
          <a:ext cx="753717" cy="43069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예측값</a:t>
          </a:r>
        </a:p>
      </xdr:txBody>
    </xdr:sp>
    <xdr:clientData/>
  </xdr:twoCellAnchor>
  <xdr:twoCellAnchor>
    <xdr:from>
      <xdr:col>1</xdr:col>
      <xdr:colOff>662610</xdr:colOff>
      <xdr:row>108</xdr:row>
      <xdr:rowOff>107675</xdr:rowOff>
    </xdr:from>
    <xdr:to>
      <xdr:col>3</xdr:col>
      <xdr:colOff>41414</xdr:colOff>
      <xdr:row>110</xdr:row>
      <xdr:rowOff>124239</xdr:rowOff>
    </xdr:to>
    <xdr:sp macro="" textlink="">
      <xdr:nvSpPr>
        <xdr:cNvPr id="11" name="TextBox 10">
          <a:extLst>
            <a:ext uri="{FF2B5EF4-FFF2-40B4-BE49-F238E27FC236}">
              <a16:creationId xmlns:a16="http://schemas.microsoft.com/office/drawing/2014/main" id="{00000000-0008-0000-0B00-00000B000000}"/>
            </a:ext>
          </a:extLst>
        </xdr:cNvPr>
        <xdr:cNvSpPr txBox="1"/>
      </xdr:nvSpPr>
      <xdr:spPr>
        <a:xfrm>
          <a:off x="1350067" y="22470718"/>
          <a:ext cx="753717" cy="43069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a:t>오차</a:t>
          </a:r>
        </a:p>
      </xdr:txBody>
    </xdr:sp>
    <xdr:clientData/>
  </xdr:twoCellAnchor>
  <xdr:twoCellAnchor>
    <xdr:from>
      <xdr:col>4</xdr:col>
      <xdr:colOff>200025</xdr:colOff>
      <xdr:row>150</xdr:row>
      <xdr:rowOff>119062</xdr:rowOff>
    </xdr:from>
    <xdr:to>
      <xdr:col>10</xdr:col>
      <xdr:colOff>657225</xdr:colOff>
      <xdr:row>163</xdr:row>
      <xdr:rowOff>138112</xdr:rowOff>
    </xdr:to>
    <xdr:graphicFrame macro="">
      <xdr:nvGraphicFramePr>
        <xdr:cNvPr id="9" name="차트 8">
          <a:extLst>
            <a:ext uri="{FF2B5EF4-FFF2-40B4-BE49-F238E27FC236}">
              <a16:creationId xmlns:a16="http://schemas.microsoft.com/office/drawing/2014/main" id="{00000000-0008-0000-0B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66675</xdr:colOff>
      <xdr:row>146</xdr:row>
      <xdr:rowOff>4762</xdr:rowOff>
    </xdr:from>
    <xdr:to>
      <xdr:col>22</xdr:col>
      <xdr:colOff>523875</xdr:colOff>
      <xdr:row>159</xdr:row>
      <xdr:rowOff>23812</xdr:rowOff>
    </xdr:to>
    <xdr:graphicFrame macro="">
      <xdr:nvGraphicFramePr>
        <xdr:cNvPr id="10" name="차트 9">
          <a:extLst>
            <a:ext uri="{FF2B5EF4-FFF2-40B4-BE49-F238E27FC236}">
              <a16:creationId xmlns:a16="http://schemas.microsoft.com/office/drawing/2014/main" id="{00000000-0008-0000-0B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161925</xdr:colOff>
      <xdr:row>172</xdr:row>
      <xdr:rowOff>109537</xdr:rowOff>
    </xdr:from>
    <xdr:to>
      <xdr:col>22</xdr:col>
      <xdr:colOff>619125</xdr:colOff>
      <xdr:row>185</xdr:row>
      <xdr:rowOff>128587</xdr:rowOff>
    </xdr:to>
    <xdr:graphicFrame macro="">
      <xdr:nvGraphicFramePr>
        <xdr:cNvPr id="12" name="차트 11">
          <a:extLst>
            <a:ext uri="{FF2B5EF4-FFF2-40B4-BE49-F238E27FC236}">
              <a16:creationId xmlns:a16="http://schemas.microsoft.com/office/drawing/2014/main" id="{00000000-0008-0000-0B00-00000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11</xdr:col>
      <xdr:colOff>324852</xdr:colOff>
      <xdr:row>24</xdr:row>
      <xdr:rowOff>86351</xdr:rowOff>
    </xdr:to>
    <xdr:pic>
      <xdr:nvPicPr>
        <xdr:cNvPr id="2" name="그림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685800" y="628650"/>
          <a:ext cx="7182852" cy="448690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10</xdr:col>
      <xdr:colOff>0</xdr:colOff>
      <xdr:row>4</xdr:row>
      <xdr:rowOff>0</xdr:rowOff>
    </xdr:from>
    <xdr:to>
      <xdr:col>18</xdr:col>
      <xdr:colOff>234531</xdr:colOff>
      <xdr:row>44</xdr:row>
      <xdr:rowOff>64939</xdr:rowOff>
    </xdr:to>
    <xdr:pic>
      <xdr:nvPicPr>
        <xdr:cNvPr id="2" name="그림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6887308" y="849923"/>
          <a:ext cx="5744377" cy="856417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9</xdr:col>
      <xdr:colOff>304800</xdr:colOff>
      <xdr:row>2</xdr:row>
      <xdr:rowOff>0</xdr:rowOff>
    </xdr:from>
    <xdr:to>
      <xdr:col>16</xdr:col>
      <xdr:colOff>100012</xdr:colOff>
      <xdr:row>14</xdr:row>
      <xdr:rowOff>52387</xdr:rowOff>
    </xdr:to>
    <xdr:graphicFrame macro="">
      <xdr:nvGraphicFramePr>
        <xdr:cNvPr id="2" name="차트 1">
          <a:extLst>
            <a:ext uri="{FF2B5EF4-FFF2-40B4-BE49-F238E27FC236}">
              <a16:creationId xmlns:a16="http://schemas.microsoft.com/office/drawing/2014/main" id="{00000000-0008-0000-0E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1209675</xdr:colOff>
      <xdr:row>0</xdr:row>
      <xdr:rowOff>0</xdr:rowOff>
    </xdr:from>
    <xdr:to>
      <xdr:col>14</xdr:col>
      <xdr:colOff>419100</xdr:colOff>
      <xdr:row>21</xdr:row>
      <xdr:rowOff>76200</xdr:rowOff>
    </xdr:to>
    <xdr:cxnSp macro="">
      <xdr:nvCxnSpPr>
        <xdr:cNvPr id="4" name="직선 연결선 3">
          <a:extLst>
            <a:ext uri="{FF2B5EF4-FFF2-40B4-BE49-F238E27FC236}">
              <a16:creationId xmlns:a16="http://schemas.microsoft.com/office/drawing/2014/main" id="{00000000-0008-0000-0E00-000004000000}"/>
            </a:ext>
          </a:extLst>
        </xdr:cNvPr>
        <xdr:cNvCxnSpPr/>
      </xdr:nvCxnSpPr>
      <xdr:spPr>
        <a:xfrm flipH="1">
          <a:off x="6610350" y="0"/>
          <a:ext cx="4676775" cy="46863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1</xdr:col>
      <xdr:colOff>0</xdr:colOff>
      <xdr:row>36</xdr:row>
      <xdr:rowOff>0</xdr:rowOff>
    </xdr:from>
    <xdr:to>
      <xdr:col>10</xdr:col>
      <xdr:colOff>648773</xdr:colOff>
      <xdr:row>54</xdr:row>
      <xdr:rowOff>57684</xdr:rowOff>
    </xdr:to>
    <xdr:pic>
      <xdr:nvPicPr>
        <xdr:cNvPr id="25" name="그림 24">
          <a:extLst>
            <a:ext uri="{FF2B5EF4-FFF2-40B4-BE49-F238E27FC236}">
              <a16:creationId xmlns:a16="http://schemas.microsoft.com/office/drawing/2014/main" id="{00000000-0008-0000-0E00-000019000000}"/>
            </a:ext>
          </a:extLst>
        </xdr:cNvPr>
        <xdr:cNvPicPr>
          <a:picLocks noChangeAspect="1"/>
        </xdr:cNvPicPr>
      </xdr:nvPicPr>
      <xdr:blipFill>
        <a:blip xmlns:r="http://schemas.openxmlformats.org/officeDocument/2006/relationships" r:embed="rId2"/>
        <a:stretch>
          <a:fillRect/>
        </a:stretch>
      </xdr:blipFill>
      <xdr:spPr>
        <a:xfrm>
          <a:off x="1085850" y="7762875"/>
          <a:ext cx="7687748" cy="3829584"/>
        </a:xfrm>
        <a:prstGeom prst="rect">
          <a:avLst/>
        </a:prstGeom>
      </xdr:spPr>
    </xdr:pic>
    <xdr:clientData/>
  </xdr:twoCellAnchor>
  <xdr:twoCellAnchor>
    <xdr:from>
      <xdr:col>15</xdr:col>
      <xdr:colOff>534866</xdr:colOff>
      <xdr:row>40</xdr:row>
      <xdr:rowOff>65942</xdr:rowOff>
    </xdr:from>
    <xdr:to>
      <xdr:col>20</xdr:col>
      <xdr:colOff>278423</xdr:colOff>
      <xdr:row>54</xdr:row>
      <xdr:rowOff>202956</xdr:rowOff>
    </xdr:to>
    <xdr:graphicFrame macro="">
      <xdr:nvGraphicFramePr>
        <xdr:cNvPr id="26" name="차트 25">
          <a:extLst>
            <a:ext uri="{FF2B5EF4-FFF2-40B4-BE49-F238E27FC236}">
              <a16:creationId xmlns:a16="http://schemas.microsoft.com/office/drawing/2014/main" id="{00000000-0008-0000-0E00-00001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14654</xdr:colOff>
      <xdr:row>61</xdr:row>
      <xdr:rowOff>29308</xdr:rowOff>
    </xdr:from>
    <xdr:to>
      <xdr:col>20</xdr:col>
      <xdr:colOff>153865</xdr:colOff>
      <xdr:row>74</xdr:row>
      <xdr:rowOff>100378</xdr:rowOff>
    </xdr:to>
    <xdr:graphicFrame macro="">
      <xdr:nvGraphicFramePr>
        <xdr:cNvPr id="27" name="차트 26">
          <a:extLst>
            <a:ext uri="{FF2B5EF4-FFF2-40B4-BE49-F238E27FC236}">
              <a16:creationId xmlns:a16="http://schemas.microsoft.com/office/drawing/2014/main" id="{00000000-0008-0000-0E00-00001B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25</xdr:col>
      <xdr:colOff>285750</xdr:colOff>
      <xdr:row>41</xdr:row>
      <xdr:rowOff>185371</xdr:rowOff>
    </xdr:from>
    <xdr:to>
      <xdr:col>29</xdr:col>
      <xdr:colOff>73270</xdr:colOff>
      <xdr:row>54</xdr:row>
      <xdr:rowOff>166321</xdr:rowOff>
    </xdr:to>
    <xdr:graphicFrame macro="">
      <xdr:nvGraphicFramePr>
        <xdr:cNvPr id="28" name="차트 27">
          <a:extLst>
            <a:ext uri="{FF2B5EF4-FFF2-40B4-BE49-F238E27FC236}">
              <a16:creationId xmlns:a16="http://schemas.microsoft.com/office/drawing/2014/main" id="{00000000-0008-0000-0E00-00001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11</xdr:col>
      <xdr:colOff>58615</xdr:colOff>
      <xdr:row>0</xdr:row>
      <xdr:rowOff>112102</xdr:rowOff>
    </xdr:from>
    <xdr:to>
      <xdr:col>17</xdr:col>
      <xdr:colOff>498230</xdr:colOff>
      <xdr:row>13</xdr:row>
      <xdr:rowOff>93052</xdr:rowOff>
    </xdr:to>
    <xdr:graphicFrame macro="">
      <xdr:nvGraphicFramePr>
        <xdr:cNvPr id="2" name="차트 1">
          <a:extLst>
            <a:ext uri="{FF2B5EF4-FFF2-40B4-BE49-F238E27FC236}">
              <a16:creationId xmlns:a16="http://schemas.microsoft.com/office/drawing/2014/main" id="{00000000-0008-0000-1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657225</xdr:colOff>
      <xdr:row>0</xdr:row>
      <xdr:rowOff>114300</xdr:rowOff>
    </xdr:from>
    <xdr:to>
      <xdr:col>6</xdr:col>
      <xdr:colOff>447675</xdr:colOff>
      <xdr:row>4</xdr:row>
      <xdr:rowOff>104775</xdr:rowOff>
    </xdr:to>
    <xdr:pic>
      <xdr:nvPicPr>
        <xdr:cNvPr id="2" name="그림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57225" y="114300"/>
          <a:ext cx="4705350" cy="828675"/>
        </a:xfrm>
        <a:prstGeom prst="rect">
          <a:avLst/>
        </a:prstGeom>
      </xdr:spPr>
    </xdr:pic>
    <xdr:clientData/>
  </xdr:twoCellAnchor>
  <xdr:twoCellAnchor>
    <xdr:from>
      <xdr:col>15</xdr:col>
      <xdr:colOff>635189</xdr:colOff>
      <xdr:row>4</xdr:row>
      <xdr:rowOff>140804</xdr:rowOff>
    </xdr:from>
    <xdr:to>
      <xdr:col>19</xdr:col>
      <xdr:colOff>198782</xdr:colOff>
      <xdr:row>22</xdr:row>
      <xdr:rowOff>115958</xdr:rowOff>
    </xdr:to>
    <xdr:graphicFrame macro="">
      <xdr:nvGraphicFramePr>
        <xdr:cNvPr id="3" name="차트 2">
          <a:extLst>
            <a:ext uri="{FF2B5EF4-FFF2-40B4-BE49-F238E27FC236}">
              <a16:creationId xmlns:a16="http://schemas.microsoft.com/office/drawing/2014/main" id="{00000000-0008-0000-13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78828</xdr:colOff>
      <xdr:row>6</xdr:row>
      <xdr:rowOff>13137</xdr:rowOff>
    </xdr:from>
    <xdr:to>
      <xdr:col>15</xdr:col>
      <xdr:colOff>335016</xdr:colOff>
      <xdr:row>8</xdr:row>
      <xdr:rowOff>2298</xdr:rowOff>
    </xdr:to>
    <xdr:pic>
      <xdr:nvPicPr>
        <xdr:cNvPr id="4" name="그림 3">
          <a:extLst>
            <a:ext uri="{FF2B5EF4-FFF2-40B4-BE49-F238E27FC236}">
              <a16:creationId xmlns:a16="http://schemas.microsoft.com/office/drawing/2014/main" id="{00000000-0008-0000-1300-000004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r="42423"/>
        <a:stretch/>
      </xdr:blipFill>
      <xdr:spPr>
        <a:xfrm>
          <a:off x="4979276" y="1274378"/>
          <a:ext cx="2988879" cy="600075"/>
        </a:xfrm>
        <a:prstGeom prst="rect">
          <a:avLst/>
        </a:prstGeom>
      </xdr:spPr>
    </xdr:pic>
    <xdr:clientData/>
  </xdr:twoCellAnchor>
  <xdr:twoCellAnchor editAs="oneCell">
    <xdr:from>
      <xdr:col>11</xdr:col>
      <xdr:colOff>24847</xdr:colOff>
      <xdr:row>15</xdr:row>
      <xdr:rowOff>33132</xdr:rowOff>
    </xdr:from>
    <xdr:to>
      <xdr:col>15</xdr:col>
      <xdr:colOff>405847</xdr:colOff>
      <xdr:row>16</xdr:row>
      <xdr:rowOff>176420</xdr:rowOff>
    </xdr:to>
    <xdr:pic>
      <xdr:nvPicPr>
        <xdr:cNvPr id="5" name="그림 4">
          <a:extLst>
            <a:ext uri="{FF2B5EF4-FFF2-40B4-BE49-F238E27FC236}">
              <a16:creationId xmlns:a16="http://schemas.microsoft.com/office/drawing/2014/main" id="{00000000-0008-0000-1300-000005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12423" r="41721"/>
        <a:stretch/>
      </xdr:blipFill>
      <xdr:spPr>
        <a:xfrm>
          <a:off x="5830956" y="3139110"/>
          <a:ext cx="3130827" cy="350352"/>
        </a:xfrm>
        <a:prstGeom prst="rect">
          <a:avLst/>
        </a:prstGeom>
      </xdr:spPr>
    </xdr:pic>
    <xdr:clientData/>
  </xdr:twoCellAnchor>
  <xdr:twoCellAnchor>
    <xdr:from>
      <xdr:col>15</xdr:col>
      <xdr:colOff>347869</xdr:colOff>
      <xdr:row>0</xdr:row>
      <xdr:rowOff>124240</xdr:rowOff>
    </xdr:from>
    <xdr:to>
      <xdr:col>19</xdr:col>
      <xdr:colOff>430695</xdr:colOff>
      <xdr:row>20</xdr:row>
      <xdr:rowOff>115958</xdr:rowOff>
    </xdr:to>
    <xdr:cxnSp macro="">
      <xdr:nvCxnSpPr>
        <xdr:cNvPr id="7" name="직선 연결선 6">
          <a:extLst>
            <a:ext uri="{FF2B5EF4-FFF2-40B4-BE49-F238E27FC236}">
              <a16:creationId xmlns:a16="http://schemas.microsoft.com/office/drawing/2014/main" id="{00000000-0008-0000-1300-000007000000}"/>
            </a:ext>
          </a:extLst>
        </xdr:cNvPr>
        <xdr:cNvCxnSpPr/>
      </xdr:nvCxnSpPr>
      <xdr:spPr>
        <a:xfrm flipV="1">
          <a:off x="11653630" y="124240"/>
          <a:ext cx="2832652" cy="450574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629478</xdr:colOff>
      <xdr:row>1</xdr:row>
      <xdr:rowOff>182218</xdr:rowOff>
    </xdr:from>
    <xdr:to>
      <xdr:col>18</xdr:col>
      <xdr:colOff>662609</xdr:colOff>
      <xdr:row>20</xdr:row>
      <xdr:rowOff>0</xdr:rowOff>
    </xdr:to>
    <xdr:cxnSp macro="">
      <xdr:nvCxnSpPr>
        <xdr:cNvPr id="10" name="직선 연결선 9">
          <a:extLst>
            <a:ext uri="{FF2B5EF4-FFF2-40B4-BE49-F238E27FC236}">
              <a16:creationId xmlns:a16="http://schemas.microsoft.com/office/drawing/2014/main" id="{00000000-0008-0000-1300-00000A000000}"/>
            </a:ext>
          </a:extLst>
        </xdr:cNvPr>
        <xdr:cNvCxnSpPr/>
      </xdr:nvCxnSpPr>
      <xdr:spPr>
        <a:xfrm flipV="1">
          <a:off x="11935239" y="389283"/>
          <a:ext cx="2095500" cy="4124739"/>
        </a:xfrm>
        <a:prstGeom prst="line">
          <a:avLst/>
        </a:prstGeom>
        <a:ln w="38100">
          <a:solidFill>
            <a:schemeClr val="tx1"/>
          </a:solidFill>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49696</xdr:colOff>
      <xdr:row>24</xdr:row>
      <xdr:rowOff>124240</xdr:rowOff>
    </xdr:from>
    <xdr:to>
      <xdr:col>3</xdr:col>
      <xdr:colOff>627408</xdr:colOff>
      <xdr:row>26</xdr:row>
      <xdr:rowOff>43484</xdr:rowOff>
    </xdr:to>
    <xdr:pic>
      <xdr:nvPicPr>
        <xdr:cNvPr id="11" name="그림 10">
          <a:extLst>
            <a:ext uri="{FF2B5EF4-FFF2-40B4-BE49-F238E27FC236}">
              <a16:creationId xmlns:a16="http://schemas.microsoft.com/office/drawing/2014/main" id="{00000000-0008-0000-1300-00000B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32283" y="5218044"/>
          <a:ext cx="1952625" cy="333375"/>
        </a:xfrm>
        <a:prstGeom prst="rect">
          <a:avLst/>
        </a:prstGeom>
      </xdr:spPr>
    </xdr:pic>
    <xdr:clientData/>
  </xdr:twoCellAnchor>
  <xdr:twoCellAnchor>
    <xdr:from>
      <xdr:col>9</xdr:col>
      <xdr:colOff>521806</xdr:colOff>
      <xdr:row>23</xdr:row>
      <xdr:rowOff>8284</xdr:rowOff>
    </xdr:from>
    <xdr:to>
      <xdr:col>10</xdr:col>
      <xdr:colOff>190500</xdr:colOff>
      <xdr:row>27</xdr:row>
      <xdr:rowOff>49696</xdr:rowOff>
    </xdr:to>
    <xdr:cxnSp macro="">
      <xdr:nvCxnSpPr>
        <xdr:cNvPr id="16" name="직선 연결선 15">
          <a:extLst>
            <a:ext uri="{FF2B5EF4-FFF2-40B4-BE49-F238E27FC236}">
              <a16:creationId xmlns:a16="http://schemas.microsoft.com/office/drawing/2014/main" id="{00000000-0008-0000-1300-000010000000}"/>
            </a:ext>
          </a:extLst>
        </xdr:cNvPr>
        <xdr:cNvCxnSpPr/>
      </xdr:nvCxnSpPr>
      <xdr:spPr>
        <a:xfrm flipV="1">
          <a:off x="7504045" y="5267741"/>
          <a:ext cx="356151" cy="869672"/>
        </a:xfrm>
        <a:prstGeom prst="line">
          <a:avLst/>
        </a:prstGeom>
        <a:ln w="38100">
          <a:solidFill>
            <a:schemeClr val="tx1"/>
          </a:solidFill>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2</xdr:col>
      <xdr:colOff>0</xdr:colOff>
      <xdr:row>52</xdr:row>
      <xdr:rowOff>0</xdr:rowOff>
    </xdr:from>
    <xdr:to>
      <xdr:col>8</xdr:col>
      <xdr:colOff>387867</xdr:colOff>
      <xdr:row>72</xdr:row>
      <xdr:rowOff>158921</xdr:rowOff>
    </xdr:to>
    <xdr:pic>
      <xdr:nvPicPr>
        <xdr:cNvPr id="25" name="그림 24">
          <a:extLst>
            <a:ext uri="{FF2B5EF4-FFF2-40B4-BE49-F238E27FC236}">
              <a16:creationId xmlns:a16="http://schemas.microsoft.com/office/drawing/2014/main" id="{00000000-0008-0000-1300-000019000000}"/>
            </a:ext>
          </a:extLst>
        </xdr:cNvPr>
        <xdr:cNvPicPr>
          <a:picLocks noChangeAspect="1"/>
        </xdr:cNvPicPr>
      </xdr:nvPicPr>
      <xdr:blipFill>
        <a:blip xmlns:r="http://schemas.openxmlformats.org/officeDocument/2006/relationships" r:embed="rId6"/>
        <a:stretch>
          <a:fillRect/>
        </a:stretch>
      </xdr:blipFill>
      <xdr:spPr>
        <a:xfrm>
          <a:off x="2167759" y="11856983"/>
          <a:ext cx="4486901" cy="4363059"/>
        </a:xfrm>
        <a:prstGeom prst="rect">
          <a:avLst/>
        </a:prstGeom>
      </xdr:spPr>
    </xdr:pic>
    <xdr:clientData/>
  </xdr:twoCellAnchor>
  <xdr:twoCellAnchor>
    <xdr:from>
      <xdr:col>8</xdr:col>
      <xdr:colOff>361292</xdr:colOff>
      <xdr:row>53</xdr:row>
      <xdr:rowOff>157655</xdr:rowOff>
    </xdr:from>
    <xdr:to>
      <xdr:col>16</xdr:col>
      <xdr:colOff>518340</xdr:colOff>
      <xdr:row>68</xdr:row>
      <xdr:rowOff>136440</xdr:rowOff>
    </xdr:to>
    <xdr:sp macro="" textlink="">
      <xdr:nvSpPr>
        <xdr:cNvPr id="26" name="내용 개체 틀 4">
          <a:extLst>
            <a:ext uri="{FF2B5EF4-FFF2-40B4-BE49-F238E27FC236}">
              <a16:creationId xmlns:a16="http://schemas.microsoft.com/office/drawing/2014/main" id="{00000000-0008-0000-1300-00001A000000}"/>
            </a:ext>
          </a:extLst>
        </xdr:cNvPr>
        <xdr:cNvSpPr>
          <a:spLocks noGrp="1"/>
        </xdr:cNvSpPr>
      </xdr:nvSpPr>
      <xdr:spPr>
        <a:xfrm>
          <a:off x="6628085" y="12224845"/>
          <a:ext cx="5826065" cy="3131888"/>
        </a:xfrm>
        <a:prstGeom prst="rect">
          <a:avLst/>
        </a:prstGeom>
      </xdr:spPr>
      <xdr:txBody>
        <a:bodyPr vert="horz" wrap="square" lIns="91440" tIns="45720" rIns="91440" bIns="45720" rtlCol="0">
          <a:normAutofit/>
        </a:bodyPr>
        <a:lstStyle>
          <a:lvl1pPr marL="225425" indent="-225425" algn="l" defTabSz="457200" rtl="0" eaLnBrk="1" latinLnBrk="0" hangingPunct="1">
            <a:lnSpc>
              <a:spcPct val="110000"/>
            </a:lnSpc>
            <a:spcBef>
              <a:spcPts val="600"/>
            </a:spcBef>
            <a:buClr>
              <a:srgbClr val="E0AC00"/>
            </a:buClr>
            <a:buFont typeface="Wingdings" panose="05000000000000000000" pitchFamily="2" charset="2"/>
            <a:buChar char="l"/>
            <a:defRPr sz="1800" kern="1200">
              <a:solidFill>
                <a:srgbClr val="504B4B"/>
              </a:solidFill>
              <a:latin typeface="+mn-ea"/>
              <a:ea typeface="+mn-ea"/>
              <a:cs typeface="+mn-cs"/>
            </a:defRPr>
          </a:lvl1pPr>
          <a:lvl2pPr marL="573088" indent="-238125" algn="l" defTabSz="457200" rtl="0" eaLnBrk="1" latinLnBrk="0" hangingPunct="1">
            <a:lnSpc>
              <a:spcPct val="110000"/>
            </a:lnSpc>
            <a:spcBef>
              <a:spcPts val="500"/>
            </a:spcBef>
            <a:buClr>
              <a:srgbClr val="E0AC00"/>
            </a:buClr>
            <a:buFont typeface="Wingdings" panose="05000000000000000000" pitchFamily="2" charset="2"/>
            <a:buChar char="l"/>
            <a:defRPr sz="1600" kern="1200">
              <a:solidFill>
                <a:srgbClr val="504B4B"/>
              </a:solidFill>
              <a:latin typeface="+mn-ea"/>
              <a:ea typeface="+mn-ea"/>
              <a:cs typeface="+mn-cs"/>
            </a:defRPr>
          </a:lvl2pPr>
          <a:lvl3pPr marL="860425" indent="-182563" algn="l" defTabSz="457200" rtl="0" eaLnBrk="1" latinLnBrk="0" hangingPunct="1">
            <a:lnSpc>
              <a:spcPct val="110000"/>
            </a:lnSpc>
            <a:spcBef>
              <a:spcPts val="300"/>
            </a:spcBef>
            <a:buClr>
              <a:srgbClr val="E0AC00"/>
            </a:buClr>
            <a:buFont typeface="Wingdings" panose="05000000000000000000" pitchFamily="2" charset="2"/>
            <a:buChar char="l"/>
            <a:defRPr sz="1400" kern="1200">
              <a:solidFill>
                <a:srgbClr val="504B4B"/>
              </a:solidFill>
              <a:latin typeface="+mn-ea"/>
              <a:ea typeface="+mn-ea"/>
              <a:cs typeface="+mn-cs"/>
            </a:defRPr>
          </a:lvl3pPr>
          <a:lvl4pPr marL="1198563" indent="-225425" algn="l" defTabSz="457200" rtl="0" eaLnBrk="1" latinLnBrk="0" hangingPunct="1">
            <a:lnSpc>
              <a:spcPct val="110000"/>
            </a:lnSpc>
            <a:spcBef>
              <a:spcPts val="100"/>
            </a:spcBef>
            <a:buClr>
              <a:srgbClr val="E0AC00"/>
            </a:buClr>
            <a:buFont typeface="Wingdings" panose="05000000000000000000" pitchFamily="2" charset="2"/>
            <a:buChar char="l"/>
            <a:defRPr sz="1200" kern="1200">
              <a:solidFill>
                <a:srgbClr val="504B4B"/>
              </a:solidFill>
              <a:latin typeface="+mn-ea"/>
              <a:ea typeface="+mn-ea"/>
              <a:cs typeface="+mn-cs"/>
            </a:defRPr>
          </a:lvl4pPr>
          <a:lvl5pPr marL="1544638" indent="-228600" algn="l" defTabSz="457200" rtl="0" eaLnBrk="1" latinLnBrk="0" hangingPunct="1">
            <a:lnSpc>
              <a:spcPct val="110000"/>
            </a:lnSpc>
            <a:spcBef>
              <a:spcPts val="0"/>
            </a:spcBef>
            <a:buClr>
              <a:srgbClr val="E0AC00"/>
            </a:buClr>
            <a:buFont typeface="Wingdings" panose="05000000000000000000" pitchFamily="2" charset="2"/>
            <a:buChar char="l"/>
            <a:defRPr sz="1200" kern="1200">
              <a:solidFill>
                <a:srgbClr val="504B4B"/>
              </a:solidFill>
              <a:latin typeface="+mn-ea"/>
              <a:ea typeface="+mn-ea"/>
              <a:cs typeface="+mn-cs"/>
            </a:defRPr>
          </a:lvl5pPr>
          <a:lvl6pPr marL="2514600" indent="-228600" algn="l" defTabSz="457200" rtl="0" eaLnBrk="1" latinLnBrk="0" hangingPunct="1">
            <a:spcBef>
              <a:spcPct val="20000"/>
            </a:spcBef>
            <a:buFont typeface="Arial"/>
            <a:buChar char="•"/>
            <a:defRPr sz="2000" kern="1200">
              <a:solidFill>
                <a:schemeClr val="tx1"/>
              </a:solidFill>
              <a:latin typeface="+mn-lt"/>
              <a:ea typeface="+mn-ea"/>
              <a:cs typeface="+mn-cs"/>
            </a:defRPr>
          </a:lvl6pPr>
          <a:lvl7pPr marL="2971800" indent="-228600" algn="l" defTabSz="457200" rtl="0" eaLnBrk="1" latinLnBrk="0" hangingPunct="1">
            <a:spcBef>
              <a:spcPct val="20000"/>
            </a:spcBef>
            <a:buFont typeface="Arial"/>
            <a:buChar char="•"/>
            <a:defRPr sz="2000" kern="1200">
              <a:solidFill>
                <a:schemeClr val="tx1"/>
              </a:solidFill>
              <a:latin typeface="+mn-lt"/>
              <a:ea typeface="+mn-ea"/>
              <a:cs typeface="+mn-cs"/>
            </a:defRPr>
          </a:lvl7pPr>
          <a:lvl8pPr marL="3429000" indent="-228600" algn="l" defTabSz="457200" rtl="0" eaLnBrk="1" latinLnBrk="0" hangingPunct="1">
            <a:spcBef>
              <a:spcPct val="20000"/>
            </a:spcBef>
            <a:buFont typeface="Arial"/>
            <a:buChar char="•"/>
            <a:defRPr sz="2000" kern="1200">
              <a:solidFill>
                <a:schemeClr val="tx1"/>
              </a:solidFill>
              <a:latin typeface="+mn-lt"/>
              <a:ea typeface="+mn-ea"/>
              <a:cs typeface="+mn-cs"/>
            </a:defRPr>
          </a:lvl8pPr>
          <a:lvl9pPr marL="3886200" indent="-228600" algn="l" defTabSz="457200" rtl="0" eaLnBrk="1" latinLnBrk="0" hangingPunct="1">
            <a:spcBef>
              <a:spcPct val="20000"/>
            </a:spcBef>
            <a:buFont typeface="Arial"/>
            <a:buChar char="•"/>
            <a:defRPr sz="2000" kern="1200">
              <a:solidFill>
                <a:schemeClr val="tx1"/>
              </a:solidFill>
              <a:latin typeface="+mn-lt"/>
              <a:ea typeface="+mn-ea"/>
              <a:cs typeface="+mn-cs"/>
            </a:defRPr>
          </a:lvl9pPr>
        </a:lstStyle>
        <a:p>
          <a:r>
            <a:rPr lang="ko-KR" altLang="en-US" b="1">
              <a:latin typeface="KoPub돋움체_Pro Bold" pitchFamily="18" charset="-127"/>
              <a:ea typeface="KoPub돋움체_Pro Bold" pitchFamily="18" charset="-127"/>
            </a:rPr>
            <a:t>경사 하강법의 개요</a:t>
          </a:r>
          <a:endParaRPr lang="ko-KR" altLang="en-US">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경사 하강법은 이렇게 반복적으로 기울기 </a:t>
          </a:r>
          <a:r>
            <a:rPr lang="en-US" altLang="ko-KR">
              <a:latin typeface="KoPub돋움체_Pro Light" pitchFamily="18" charset="-127"/>
              <a:ea typeface="KoPub돋움체_Pro Light" pitchFamily="18" charset="-127"/>
            </a:rPr>
            <a:t>a</a:t>
          </a:r>
          <a:r>
            <a:rPr lang="ko-KR" altLang="en-US">
              <a:latin typeface="KoPub돋움체_Pro Light" pitchFamily="18" charset="-127"/>
              <a:ea typeface="KoPub돋움체_Pro Light" pitchFamily="18" charset="-127"/>
            </a:rPr>
            <a:t>를 변화시켜서 </a:t>
          </a:r>
          <a:r>
            <a:rPr lang="en-US" altLang="ko-KR">
              <a:latin typeface="KoPub돋움체_Pro Light" pitchFamily="18" charset="-127"/>
              <a:ea typeface="KoPub돋움체_Pro Light" pitchFamily="18" charset="-127"/>
            </a:rPr>
            <a:t>m </a:t>
          </a:r>
          <a:r>
            <a:rPr lang="ko-KR" altLang="en-US">
              <a:latin typeface="KoPub돋움체_Pro Light" pitchFamily="18" charset="-127"/>
              <a:ea typeface="KoPub돋움체_Pro Light" pitchFamily="18" charset="-127"/>
            </a:rPr>
            <a:t>값을 찾아내는 방법</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여기서 우리는 </a:t>
          </a:r>
          <a:r>
            <a:rPr lang="ko-KR" altLang="en-US" b="1">
              <a:latin typeface="KoPub돋움체_Pro Light" pitchFamily="18" charset="-127"/>
              <a:ea typeface="KoPub돋움체_Pro Light" pitchFamily="18" charset="-127"/>
            </a:rPr>
            <a:t>학습률</a:t>
          </a:r>
          <a:r>
            <a:rPr lang="en-US" altLang="ko-KR">
              <a:solidFill>
                <a:schemeClr val="bg1">
                  <a:lumMod val="65000"/>
                </a:schemeClr>
              </a:solidFill>
              <a:latin typeface="KoPub돋움체_Pro Light" pitchFamily="18" charset="-127"/>
              <a:ea typeface="KoPub돋움체_Pro Light" pitchFamily="18" charset="-127"/>
            </a:rPr>
            <a:t>(learning rate)</a:t>
          </a:r>
          <a:r>
            <a:rPr lang="ko-KR" altLang="en-US">
              <a:latin typeface="KoPub돋움체_Pro Light" pitchFamily="18" charset="-127"/>
              <a:ea typeface="KoPub돋움체_Pro Light" pitchFamily="18" charset="-127"/>
            </a:rPr>
            <a:t>이라는 개념을 알 수 있음</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기울기의 부호를 바꾸어 이동시킬 때 적절한 거리를 찾지 못해 너무 멀리 이동시키면 </a:t>
          </a:r>
          <a:r>
            <a:rPr lang="en-US" altLang="ko-KR">
              <a:latin typeface="KoPub돋움체_Pro Light" pitchFamily="18" charset="-127"/>
              <a:ea typeface="KoPub돋움체_Pro Light" pitchFamily="18" charset="-127"/>
            </a:rPr>
            <a:t>a </a:t>
          </a:r>
          <a:r>
            <a:rPr lang="ko-KR" altLang="en-US">
              <a:latin typeface="KoPub돋움체_Pro Light" pitchFamily="18" charset="-127"/>
              <a:ea typeface="KoPub돋움체_Pro Light" pitchFamily="18" charset="-127"/>
            </a:rPr>
            <a:t>값이 한 점으로 모이지 않고 그림 </a:t>
          </a:r>
          <a:r>
            <a:rPr lang="en-US" altLang="ko-KR">
              <a:latin typeface="KoPub돋움체_Pro Light" pitchFamily="18" charset="-127"/>
              <a:ea typeface="KoPub돋움체_Pro Light" pitchFamily="18" charset="-127"/>
            </a:rPr>
            <a:t>5-4</a:t>
          </a:r>
          <a:r>
            <a:rPr lang="ko-KR" altLang="en-US">
              <a:latin typeface="KoPub돋움체_Pro Light" pitchFamily="18" charset="-127"/>
              <a:ea typeface="KoPub돋움체_Pro Light" pitchFamily="18" charset="-127"/>
            </a:rPr>
            <a:t>와 같이 위로 치솟아 버림</a:t>
          </a:r>
          <a:endParaRPr lang="en-US" altLang="ko-KR" b="1">
            <a:solidFill>
              <a:schemeClr val="bg1">
                <a:lumMod val="65000"/>
              </a:schemeClr>
            </a:solidFill>
            <a:latin typeface="KoPub돋움체_Pro Light" pitchFamily="18" charset="-127"/>
            <a:ea typeface="KoPub돋움체_Pro Light" pitchFamily="18" charset="-127"/>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10</xdr:col>
      <xdr:colOff>384117</xdr:colOff>
      <xdr:row>36</xdr:row>
      <xdr:rowOff>15664</xdr:rowOff>
    </xdr:to>
    <xdr:pic>
      <xdr:nvPicPr>
        <xdr:cNvPr id="2" name="그림 1">
          <a:extLst>
            <a:ext uri="{FF2B5EF4-FFF2-40B4-BE49-F238E27FC236}">
              <a16:creationId xmlns:a16="http://schemas.microsoft.com/office/drawing/2014/main" id="{00000000-0008-0000-1400-000002000000}"/>
            </a:ext>
          </a:extLst>
        </xdr:cNvPr>
        <xdr:cNvPicPr>
          <a:picLocks noChangeAspect="1"/>
        </xdr:cNvPicPr>
      </xdr:nvPicPr>
      <xdr:blipFill>
        <a:blip xmlns:r="http://schemas.openxmlformats.org/officeDocument/2006/relationships" r:embed="rId1"/>
        <a:stretch>
          <a:fillRect/>
        </a:stretch>
      </xdr:blipFill>
      <xdr:spPr>
        <a:xfrm>
          <a:off x="688731" y="424962"/>
          <a:ext cx="6582694" cy="724001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67710</xdr:colOff>
      <xdr:row>21</xdr:row>
      <xdr:rowOff>205154</xdr:rowOff>
    </xdr:from>
    <xdr:to>
      <xdr:col>12</xdr:col>
      <xdr:colOff>389015</xdr:colOff>
      <xdr:row>39</xdr:row>
      <xdr:rowOff>191582</xdr:rowOff>
    </xdr:to>
    <xdr:pic>
      <xdr:nvPicPr>
        <xdr:cNvPr id="2" name="그림 1">
          <a:extLst>
            <a:ext uri="{FF2B5EF4-FFF2-40B4-BE49-F238E27FC236}">
              <a16:creationId xmlns:a16="http://schemas.microsoft.com/office/drawing/2014/main" id="{00000000-0008-0000-1500-000002000000}"/>
            </a:ext>
          </a:extLst>
        </xdr:cNvPr>
        <xdr:cNvPicPr>
          <a:picLocks noChangeAspect="1"/>
        </xdr:cNvPicPr>
      </xdr:nvPicPr>
      <xdr:blipFill>
        <a:blip xmlns:r="http://schemas.openxmlformats.org/officeDocument/2006/relationships" r:embed="rId1"/>
        <a:stretch>
          <a:fillRect/>
        </a:stretch>
      </xdr:blipFill>
      <xdr:spPr>
        <a:xfrm>
          <a:off x="756441" y="4674577"/>
          <a:ext cx="7897343" cy="3811082"/>
        </a:xfrm>
        <a:prstGeom prst="rect">
          <a:avLst/>
        </a:prstGeom>
      </xdr:spPr>
    </xdr:pic>
    <xdr:clientData/>
  </xdr:twoCellAnchor>
  <xdr:twoCellAnchor editAs="oneCell">
    <xdr:from>
      <xdr:col>1</xdr:col>
      <xdr:colOff>36635</xdr:colOff>
      <xdr:row>54</xdr:row>
      <xdr:rowOff>14655</xdr:rowOff>
    </xdr:from>
    <xdr:to>
      <xdr:col>13</xdr:col>
      <xdr:colOff>631352</xdr:colOff>
      <xdr:row>65</xdr:row>
      <xdr:rowOff>49422</xdr:rowOff>
    </xdr:to>
    <xdr:pic>
      <xdr:nvPicPr>
        <xdr:cNvPr id="3" name="그림 2">
          <a:extLst>
            <a:ext uri="{FF2B5EF4-FFF2-40B4-BE49-F238E27FC236}">
              <a16:creationId xmlns:a16="http://schemas.microsoft.com/office/drawing/2014/main" id="{00000000-0008-0000-1500-000003000000}"/>
            </a:ext>
          </a:extLst>
        </xdr:cNvPr>
        <xdr:cNvPicPr>
          <a:picLocks noChangeAspect="1"/>
        </xdr:cNvPicPr>
      </xdr:nvPicPr>
      <xdr:blipFill>
        <a:blip xmlns:r="http://schemas.openxmlformats.org/officeDocument/2006/relationships" r:embed="rId2"/>
        <a:stretch>
          <a:fillRect/>
        </a:stretch>
      </xdr:blipFill>
      <xdr:spPr>
        <a:xfrm>
          <a:off x="725366" y="11495943"/>
          <a:ext cx="8859486" cy="2372056"/>
        </a:xfrm>
        <a:prstGeom prst="rect">
          <a:avLst/>
        </a:prstGeom>
      </xdr:spPr>
    </xdr:pic>
    <xdr:clientData/>
  </xdr:twoCellAnchor>
  <xdr:twoCellAnchor editAs="oneCell">
    <xdr:from>
      <xdr:col>1</xdr:col>
      <xdr:colOff>0</xdr:colOff>
      <xdr:row>42</xdr:row>
      <xdr:rowOff>0</xdr:rowOff>
    </xdr:from>
    <xdr:to>
      <xdr:col>9</xdr:col>
      <xdr:colOff>161192</xdr:colOff>
      <xdr:row>50</xdr:row>
      <xdr:rowOff>109173</xdr:rowOff>
    </xdr:to>
    <xdr:pic>
      <xdr:nvPicPr>
        <xdr:cNvPr id="4" name="그림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3"/>
        <a:stretch>
          <a:fillRect/>
        </a:stretch>
      </xdr:blipFill>
      <xdr:spPr>
        <a:xfrm>
          <a:off x="688731" y="8931519"/>
          <a:ext cx="5671038" cy="1809019"/>
        </a:xfrm>
        <a:prstGeom prst="rect">
          <a:avLst/>
        </a:prstGeom>
      </xdr:spPr>
    </xdr:pic>
    <xdr:clientData/>
  </xdr:twoCellAnchor>
  <xdr:twoCellAnchor>
    <xdr:from>
      <xdr:col>2</xdr:col>
      <xdr:colOff>571500</xdr:colOff>
      <xdr:row>71</xdr:row>
      <xdr:rowOff>47625</xdr:rowOff>
    </xdr:from>
    <xdr:to>
      <xdr:col>3</xdr:col>
      <xdr:colOff>342901</xdr:colOff>
      <xdr:row>73</xdr:row>
      <xdr:rowOff>0</xdr:rowOff>
    </xdr:to>
    <xdr:cxnSp macro="">
      <xdr:nvCxnSpPr>
        <xdr:cNvPr id="6" name="직선 연결선 5">
          <a:extLst>
            <a:ext uri="{FF2B5EF4-FFF2-40B4-BE49-F238E27FC236}">
              <a16:creationId xmlns:a16="http://schemas.microsoft.com/office/drawing/2014/main" id="{00000000-0008-0000-1500-000006000000}"/>
            </a:ext>
          </a:extLst>
        </xdr:cNvPr>
        <xdr:cNvCxnSpPr/>
      </xdr:nvCxnSpPr>
      <xdr:spPr>
        <a:xfrm flipH="1">
          <a:off x="1943100" y="14935200"/>
          <a:ext cx="457201" cy="3714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71</xdr:row>
      <xdr:rowOff>57150</xdr:rowOff>
    </xdr:from>
    <xdr:to>
      <xdr:col>4</xdr:col>
      <xdr:colOff>152400</xdr:colOff>
      <xdr:row>72</xdr:row>
      <xdr:rowOff>200025</xdr:rowOff>
    </xdr:to>
    <xdr:cxnSp macro="">
      <xdr:nvCxnSpPr>
        <xdr:cNvPr id="8" name="직선 연결선 7">
          <a:extLst>
            <a:ext uri="{FF2B5EF4-FFF2-40B4-BE49-F238E27FC236}">
              <a16:creationId xmlns:a16="http://schemas.microsoft.com/office/drawing/2014/main" id="{00000000-0008-0000-1500-000008000000}"/>
            </a:ext>
          </a:extLst>
        </xdr:cNvPr>
        <xdr:cNvCxnSpPr/>
      </xdr:nvCxnSpPr>
      <xdr:spPr>
        <a:xfrm>
          <a:off x="2419350" y="14944725"/>
          <a:ext cx="476250" cy="352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8</xdr:col>
      <xdr:colOff>636727</xdr:colOff>
      <xdr:row>20</xdr:row>
      <xdr:rowOff>76679</xdr:rowOff>
    </xdr:to>
    <xdr:pic>
      <xdr:nvPicPr>
        <xdr:cNvPr id="2" name="그림 1">
          <a:extLst>
            <a:ext uri="{FF2B5EF4-FFF2-40B4-BE49-F238E27FC236}">
              <a16:creationId xmlns:a16="http://schemas.microsoft.com/office/drawing/2014/main" id="{00000000-0008-0000-1600-000002000000}"/>
            </a:ext>
          </a:extLst>
        </xdr:cNvPr>
        <xdr:cNvPicPr>
          <a:picLocks noChangeAspect="1"/>
        </xdr:cNvPicPr>
      </xdr:nvPicPr>
      <xdr:blipFill>
        <a:blip xmlns:r="http://schemas.openxmlformats.org/officeDocument/2006/relationships" r:embed="rId1"/>
        <a:stretch>
          <a:fillRect/>
        </a:stretch>
      </xdr:blipFill>
      <xdr:spPr>
        <a:xfrm>
          <a:off x="685800" y="838200"/>
          <a:ext cx="6096851" cy="3429479"/>
        </a:xfrm>
        <a:prstGeom prst="rect">
          <a:avLst/>
        </a:prstGeom>
      </xdr:spPr>
    </xdr:pic>
    <xdr:clientData/>
  </xdr:twoCellAnchor>
  <xdr:twoCellAnchor editAs="oneCell">
    <xdr:from>
      <xdr:col>10</xdr:col>
      <xdr:colOff>195586</xdr:colOff>
      <xdr:row>3</xdr:row>
      <xdr:rowOff>0</xdr:rowOff>
    </xdr:from>
    <xdr:to>
      <xdr:col>19</xdr:col>
      <xdr:colOff>610453</xdr:colOff>
      <xdr:row>20</xdr:row>
      <xdr:rowOff>142875</xdr:rowOff>
    </xdr:to>
    <xdr:pic>
      <xdr:nvPicPr>
        <xdr:cNvPr id="3" name="그림 2">
          <a:extLst>
            <a:ext uri="{FF2B5EF4-FFF2-40B4-BE49-F238E27FC236}">
              <a16:creationId xmlns:a16="http://schemas.microsoft.com/office/drawing/2014/main" id="{00000000-0008-0000-1600-000003000000}"/>
            </a:ext>
          </a:extLst>
        </xdr:cNvPr>
        <xdr:cNvPicPr>
          <a:picLocks noChangeAspect="1"/>
        </xdr:cNvPicPr>
      </xdr:nvPicPr>
      <xdr:blipFill>
        <a:blip xmlns:r="http://schemas.openxmlformats.org/officeDocument/2006/relationships" r:embed="rId2"/>
        <a:stretch>
          <a:fillRect/>
        </a:stretch>
      </xdr:blipFill>
      <xdr:spPr>
        <a:xfrm>
          <a:off x="7053586" y="628650"/>
          <a:ext cx="6587066" cy="3705225"/>
        </a:xfrm>
        <a:prstGeom prst="rect">
          <a:avLst/>
        </a:prstGeom>
      </xdr:spPr>
    </xdr:pic>
    <xdr:clientData/>
  </xdr:twoCellAnchor>
  <xdr:twoCellAnchor editAs="oneCell">
    <xdr:from>
      <xdr:col>1</xdr:col>
      <xdr:colOff>0</xdr:colOff>
      <xdr:row>22</xdr:row>
      <xdr:rowOff>0</xdr:rowOff>
    </xdr:from>
    <xdr:to>
      <xdr:col>8</xdr:col>
      <xdr:colOff>636727</xdr:colOff>
      <xdr:row>38</xdr:row>
      <xdr:rowOff>76679</xdr:rowOff>
    </xdr:to>
    <xdr:pic>
      <xdr:nvPicPr>
        <xdr:cNvPr id="4" name="그림 3">
          <a:extLst>
            <a:ext uri="{FF2B5EF4-FFF2-40B4-BE49-F238E27FC236}">
              <a16:creationId xmlns:a16="http://schemas.microsoft.com/office/drawing/2014/main" id="{00000000-0008-0000-1600-000004000000}"/>
            </a:ext>
          </a:extLst>
        </xdr:cNvPr>
        <xdr:cNvPicPr>
          <a:picLocks noChangeAspect="1"/>
        </xdr:cNvPicPr>
      </xdr:nvPicPr>
      <xdr:blipFill>
        <a:blip xmlns:r="http://schemas.openxmlformats.org/officeDocument/2006/relationships" r:embed="rId3"/>
        <a:stretch>
          <a:fillRect/>
        </a:stretch>
      </xdr:blipFill>
      <xdr:spPr>
        <a:xfrm>
          <a:off x="685800" y="4610100"/>
          <a:ext cx="6096851" cy="3429479"/>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683172</xdr:colOff>
      <xdr:row>0</xdr:row>
      <xdr:rowOff>0</xdr:rowOff>
    </xdr:from>
    <xdr:to>
      <xdr:col>7</xdr:col>
      <xdr:colOff>269327</xdr:colOff>
      <xdr:row>22</xdr:row>
      <xdr:rowOff>201482</xdr:rowOff>
    </xdr:to>
    <xdr:pic>
      <xdr:nvPicPr>
        <xdr:cNvPr id="2" name="그림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a:stretch>
          <a:fillRect/>
        </a:stretch>
      </xdr:blipFill>
      <xdr:spPr>
        <a:xfrm>
          <a:off x="683172" y="0"/>
          <a:ext cx="4368362" cy="4826034"/>
        </a:xfrm>
        <a:prstGeom prst="rect">
          <a:avLst/>
        </a:prstGeom>
      </xdr:spPr>
    </xdr:pic>
    <xdr:clientData/>
  </xdr:twoCellAnchor>
  <xdr:twoCellAnchor editAs="oneCell">
    <xdr:from>
      <xdr:col>1</xdr:col>
      <xdr:colOff>19707</xdr:colOff>
      <xdr:row>23</xdr:row>
      <xdr:rowOff>6570</xdr:rowOff>
    </xdr:from>
    <xdr:to>
      <xdr:col>5</xdr:col>
      <xdr:colOff>496406</xdr:colOff>
      <xdr:row>52</xdr:row>
      <xdr:rowOff>188418</xdr:rowOff>
    </xdr:to>
    <xdr:pic>
      <xdr:nvPicPr>
        <xdr:cNvPr id="3" name="그림 2">
          <a:extLst>
            <a:ext uri="{FF2B5EF4-FFF2-40B4-BE49-F238E27FC236}">
              <a16:creationId xmlns:a16="http://schemas.microsoft.com/office/drawing/2014/main" id="{00000000-0008-0000-1700-000003000000}"/>
            </a:ext>
          </a:extLst>
        </xdr:cNvPr>
        <xdr:cNvPicPr>
          <a:picLocks noChangeAspect="1"/>
        </xdr:cNvPicPr>
      </xdr:nvPicPr>
      <xdr:blipFill>
        <a:blip xmlns:r="http://schemas.openxmlformats.org/officeDocument/2006/relationships" r:embed="rId2"/>
        <a:stretch>
          <a:fillRect/>
        </a:stretch>
      </xdr:blipFill>
      <xdr:spPr>
        <a:xfrm>
          <a:off x="702879" y="4841329"/>
          <a:ext cx="3209389" cy="627784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35</xdr:row>
      <xdr:rowOff>0</xdr:rowOff>
    </xdr:from>
    <xdr:to>
      <xdr:col>12</xdr:col>
      <xdr:colOff>111610</xdr:colOff>
      <xdr:row>57</xdr:row>
      <xdr:rowOff>179152</xdr:rowOff>
    </xdr:to>
    <xdr:pic>
      <xdr:nvPicPr>
        <xdr:cNvPr id="2" name="그림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687457" y="7247283"/>
          <a:ext cx="7640116" cy="4734586"/>
        </a:xfrm>
        <a:prstGeom prst="rect">
          <a:avLst/>
        </a:prstGeom>
      </xdr:spPr>
    </xdr:pic>
    <xdr:clientData/>
  </xdr:twoCellAnchor>
  <xdr:twoCellAnchor editAs="oneCell">
    <xdr:from>
      <xdr:col>8</xdr:col>
      <xdr:colOff>0</xdr:colOff>
      <xdr:row>63</xdr:row>
      <xdr:rowOff>0</xdr:rowOff>
    </xdr:from>
    <xdr:to>
      <xdr:col>17</xdr:col>
      <xdr:colOff>362863</xdr:colOff>
      <xdr:row>73</xdr:row>
      <xdr:rowOff>96800</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5476875" y="13201650"/>
          <a:ext cx="6535062" cy="2200582"/>
        </a:xfrm>
        <a:prstGeom prst="rect">
          <a:avLst/>
        </a:prstGeom>
      </xdr:spPr>
    </xdr:pic>
    <xdr:clientData/>
  </xdr:twoCellAnchor>
  <xdr:twoCellAnchor editAs="oneCell">
    <xdr:from>
      <xdr:col>1</xdr:col>
      <xdr:colOff>0</xdr:colOff>
      <xdr:row>178</xdr:row>
      <xdr:rowOff>0</xdr:rowOff>
    </xdr:from>
    <xdr:to>
      <xdr:col>9</xdr:col>
      <xdr:colOff>72376</xdr:colOff>
      <xdr:row>190</xdr:row>
      <xdr:rowOff>1994</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tretch>
          <a:fillRect/>
        </a:stretch>
      </xdr:blipFill>
      <xdr:spPr>
        <a:xfrm>
          <a:off x="1326931" y="37574483"/>
          <a:ext cx="5544324" cy="252447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7</xdr:col>
      <xdr:colOff>571499</xdr:colOff>
      <xdr:row>12</xdr:row>
      <xdr:rowOff>131884</xdr:rowOff>
    </xdr:from>
    <xdr:to>
      <xdr:col>8</xdr:col>
      <xdr:colOff>337038</xdr:colOff>
      <xdr:row>14</xdr:row>
      <xdr:rowOff>161192</xdr:rowOff>
    </xdr:to>
    <xdr:sp macro="" textlink="">
      <xdr:nvSpPr>
        <xdr:cNvPr id="2" name="타원 1">
          <a:extLst>
            <a:ext uri="{FF2B5EF4-FFF2-40B4-BE49-F238E27FC236}">
              <a16:creationId xmlns:a16="http://schemas.microsoft.com/office/drawing/2014/main" id="{00000000-0008-0000-1800-000002000000}"/>
            </a:ext>
          </a:extLst>
        </xdr:cNvPr>
        <xdr:cNvSpPr/>
      </xdr:nvSpPr>
      <xdr:spPr>
        <a:xfrm>
          <a:off x="5392614" y="2469172"/>
          <a:ext cx="454270" cy="45427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586154</xdr:colOff>
      <xdr:row>15</xdr:row>
      <xdr:rowOff>124557</xdr:rowOff>
    </xdr:from>
    <xdr:to>
      <xdr:col>8</xdr:col>
      <xdr:colOff>351693</xdr:colOff>
      <xdr:row>17</xdr:row>
      <xdr:rowOff>153866</xdr:rowOff>
    </xdr:to>
    <xdr:sp macro="" textlink="">
      <xdr:nvSpPr>
        <xdr:cNvPr id="3" name="타원 2">
          <a:extLst>
            <a:ext uri="{FF2B5EF4-FFF2-40B4-BE49-F238E27FC236}">
              <a16:creationId xmlns:a16="http://schemas.microsoft.com/office/drawing/2014/main" id="{00000000-0008-0000-1800-000003000000}"/>
            </a:ext>
          </a:extLst>
        </xdr:cNvPr>
        <xdr:cNvSpPr/>
      </xdr:nvSpPr>
      <xdr:spPr>
        <a:xfrm>
          <a:off x="5407269" y="3099288"/>
          <a:ext cx="454270" cy="45427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542192</xdr:colOff>
      <xdr:row>9</xdr:row>
      <xdr:rowOff>80597</xdr:rowOff>
    </xdr:from>
    <xdr:to>
      <xdr:col>8</xdr:col>
      <xdr:colOff>307731</xdr:colOff>
      <xdr:row>11</xdr:row>
      <xdr:rowOff>109905</xdr:rowOff>
    </xdr:to>
    <xdr:sp macro="" textlink="">
      <xdr:nvSpPr>
        <xdr:cNvPr id="4" name="타원 3">
          <a:extLst>
            <a:ext uri="{FF2B5EF4-FFF2-40B4-BE49-F238E27FC236}">
              <a16:creationId xmlns:a16="http://schemas.microsoft.com/office/drawing/2014/main" id="{00000000-0008-0000-1800-000004000000}"/>
            </a:ext>
          </a:extLst>
        </xdr:cNvPr>
        <xdr:cNvSpPr/>
      </xdr:nvSpPr>
      <xdr:spPr>
        <a:xfrm>
          <a:off x="5363307" y="1780443"/>
          <a:ext cx="454270" cy="45427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474019</xdr:colOff>
      <xdr:row>11</xdr:row>
      <xdr:rowOff>150359</xdr:rowOff>
    </xdr:from>
    <xdr:to>
      <xdr:col>12</xdr:col>
      <xdr:colOff>239558</xdr:colOff>
      <xdr:row>13</xdr:row>
      <xdr:rowOff>179668</xdr:rowOff>
    </xdr:to>
    <xdr:sp macro="" textlink="">
      <xdr:nvSpPr>
        <xdr:cNvPr id="5" name="타원 4">
          <a:extLst>
            <a:ext uri="{FF2B5EF4-FFF2-40B4-BE49-F238E27FC236}">
              <a16:creationId xmlns:a16="http://schemas.microsoft.com/office/drawing/2014/main" id="{00000000-0008-0000-1800-000005000000}"/>
            </a:ext>
          </a:extLst>
        </xdr:cNvPr>
        <xdr:cNvSpPr/>
      </xdr:nvSpPr>
      <xdr:spPr>
        <a:xfrm>
          <a:off x="8036041" y="2221011"/>
          <a:ext cx="452995" cy="44344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1100"/>
            <a:t>00</a:t>
          </a:r>
          <a:endParaRPr lang="ko-KR" altLang="en-US" sz="1100"/>
        </a:p>
      </xdr:txBody>
    </xdr:sp>
    <xdr:clientData/>
  </xdr:twoCellAnchor>
  <xdr:twoCellAnchor>
    <xdr:from>
      <xdr:col>8</xdr:col>
      <xdr:colOff>307731</xdr:colOff>
      <xdr:row>10</xdr:row>
      <xdr:rowOff>95251</xdr:rowOff>
    </xdr:from>
    <xdr:to>
      <xdr:col>11</xdr:col>
      <xdr:colOff>474019</xdr:colOff>
      <xdr:row>12</xdr:row>
      <xdr:rowOff>165014</xdr:rowOff>
    </xdr:to>
    <xdr:cxnSp macro="">
      <xdr:nvCxnSpPr>
        <xdr:cNvPr id="7" name="직선 연결선 6">
          <a:extLst>
            <a:ext uri="{FF2B5EF4-FFF2-40B4-BE49-F238E27FC236}">
              <a16:creationId xmlns:a16="http://schemas.microsoft.com/office/drawing/2014/main" id="{00000000-0008-0000-1800-000007000000}"/>
            </a:ext>
          </a:extLst>
        </xdr:cNvPr>
        <xdr:cNvCxnSpPr>
          <a:stCxn id="4" idx="6"/>
          <a:endCxn id="5" idx="2"/>
        </xdr:cNvCxnSpPr>
      </xdr:nvCxnSpPr>
      <xdr:spPr>
        <a:xfrm>
          <a:off x="5807383" y="1958838"/>
          <a:ext cx="2228658" cy="48389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349143</xdr:colOff>
      <xdr:row>13</xdr:row>
      <xdr:rowOff>24847</xdr:rowOff>
    </xdr:from>
    <xdr:to>
      <xdr:col>11</xdr:col>
      <xdr:colOff>496956</xdr:colOff>
      <xdr:row>13</xdr:row>
      <xdr:rowOff>62122</xdr:rowOff>
    </xdr:to>
    <xdr:cxnSp macro="">
      <xdr:nvCxnSpPr>
        <xdr:cNvPr id="8" name="직선 연결선 7">
          <a:extLst>
            <a:ext uri="{FF2B5EF4-FFF2-40B4-BE49-F238E27FC236}">
              <a16:creationId xmlns:a16="http://schemas.microsoft.com/office/drawing/2014/main" id="{00000000-0008-0000-1800-000008000000}"/>
            </a:ext>
          </a:extLst>
        </xdr:cNvPr>
        <xdr:cNvCxnSpPr/>
      </xdr:nvCxnSpPr>
      <xdr:spPr>
        <a:xfrm flipV="1">
          <a:off x="5848795" y="2509630"/>
          <a:ext cx="2210183" cy="372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414131</xdr:colOff>
      <xdr:row>13</xdr:row>
      <xdr:rowOff>114728</xdr:rowOff>
    </xdr:from>
    <xdr:to>
      <xdr:col>11</xdr:col>
      <xdr:colOff>540359</xdr:colOff>
      <xdr:row>16</xdr:row>
      <xdr:rowOff>190500</xdr:rowOff>
    </xdr:to>
    <xdr:cxnSp macro="">
      <xdr:nvCxnSpPr>
        <xdr:cNvPr id="10" name="직선 연결선 9">
          <a:extLst>
            <a:ext uri="{FF2B5EF4-FFF2-40B4-BE49-F238E27FC236}">
              <a16:creationId xmlns:a16="http://schemas.microsoft.com/office/drawing/2014/main" id="{00000000-0008-0000-1800-00000A000000}"/>
            </a:ext>
          </a:extLst>
        </xdr:cNvPr>
        <xdr:cNvCxnSpPr>
          <a:endCxn id="5" idx="3"/>
        </xdr:cNvCxnSpPr>
      </xdr:nvCxnSpPr>
      <xdr:spPr>
        <a:xfrm flipV="1">
          <a:off x="5913783" y="2599511"/>
          <a:ext cx="2188598" cy="69696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73270</xdr:colOff>
      <xdr:row>2</xdr:row>
      <xdr:rowOff>148735</xdr:rowOff>
    </xdr:from>
    <xdr:to>
      <xdr:col>25</xdr:col>
      <xdr:colOff>197828</xdr:colOff>
      <xdr:row>11</xdr:row>
      <xdr:rowOff>139211</xdr:rowOff>
    </xdr:to>
    <xdr:graphicFrame macro="">
      <xdr:nvGraphicFramePr>
        <xdr:cNvPr id="15" name="차트 14">
          <a:extLst>
            <a:ext uri="{FF2B5EF4-FFF2-40B4-BE49-F238E27FC236}">
              <a16:creationId xmlns:a16="http://schemas.microsoft.com/office/drawing/2014/main" id="{00000000-0008-0000-1800-00000F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22</xdr:col>
      <xdr:colOff>278423</xdr:colOff>
      <xdr:row>12</xdr:row>
      <xdr:rowOff>7327</xdr:rowOff>
    </xdr:from>
    <xdr:to>
      <xdr:col>25</xdr:col>
      <xdr:colOff>403287</xdr:colOff>
      <xdr:row>19</xdr:row>
      <xdr:rowOff>120384</xdr:rowOff>
    </xdr:to>
    <xdr:pic>
      <xdr:nvPicPr>
        <xdr:cNvPr id="16" name="그림 15">
          <a:extLst>
            <a:ext uri="{FF2B5EF4-FFF2-40B4-BE49-F238E27FC236}">
              <a16:creationId xmlns:a16="http://schemas.microsoft.com/office/drawing/2014/main" id="{00000000-0008-0000-1800-000010000000}"/>
            </a:ext>
          </a:extLst>
        </xdr:cNvPr>
        <xdr:cNvPicPr>
          <a:picLocks noChangeAspect="1"/>
        </xdr:cNvPicPr>
      </xdr:nvPicPr>
      <xdr:blipFill>
        <a:blip xmlns:r="http://schemas.openxmlformats.org/officeDocument/2006/relationships" r:embed="rId2"/>
        <a:stretch>
          <a:fillRect/>
        </a:stretch>
      </xdr:blipFill>
      <xdr:spPr>
        <a:xfrm>
          <a:off x="15430500" y="2557096"/>
          <a:ext cx="2191056" cy="1600423"/>
        </a:xfrm>
        <a:prstGeom prst="rect">
          <a:avLst/>
        </a:prstGeom>
      </xdr:spPr>
    </xdr:pic>
    <xdr:clientData/>
  </xdr:twoCellAnchor>
  <xdr:twoCellAnchor>
    <xdr:from>
      <xdr:col>13</xdr:col>
      <xdr:colOff>270369</xdr:colOff>
      <xdr:row>17</xdr:row>
      <xdr:rowOff>173840</xdr:rowOff>
    </xdr:from>
    <xdr:to>
      <xdr:col>19</xdr:col>
      <xdr:colOff>242229</xdr:colOff>
      <xdr:row>33</xdr:row>
      <xdr:rowOff>131951</xdr:rowOff>
    </xdr:to>
    <xdr:grpSp>
      <xdr:nvGrpSpPr>
        <xdr:cNvPr id="35" name="그룹 34">
          <a:extLst>
            <a:ext uri="{FF2B5EF4-FFF2-40B4-BE49-F238E27FC236}">
              <a16:creationId xmlns:a16="http://schemas.microsoft.com/office/drawing/2014/main" id="{00000000-0008-0000-1800-000023000000}"/>
            </a:ext>
          </a:extLst>
        </xdr:cNvPr>
        <xdr:cNvGrpSpPr/>
      </xdr:nvGrpSpPr>
      <xdr:grpSpPr>
        <a:xfrm>
          <a:off x="9207304" y="3693949"/>
          <a:ext cx="4096599" cy="3271154"/>
          <a:chOff x="9207304" y="3693949"/>
          <a:chExt cx="4096599" cy="3271154"/>
        </a:xfrm>
      </xdr:grpSpPr>
      <xdr:graphicFrame macro="">
        <xdr:nvGraphicFramePr>
          <xdr:cNvPr id="21" name="차트 20">
            <a:extLst>
              <a:ext uri="{FF2B5EF4-FFF2-40B4-BE49-F238E27FC236}">
                <a16:creationId xmlns:a16="http://schemas.microsoft.com/office/drawing/2014/main" id="{00000000-0008-0000-1800-000015000000}"/>
              </a:ext>
            </a:extLst>
          </xdr:cNvPr>
          <xdr:cNvGraphicFramePr/>
        </xdr:nvGraphicFramePr>
        <xdr:xfrm>
          <a:off x="10077651" y="3693949"/>
          <a:ext cx="3226252" cy="2702116"/>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22" name="타원 21">
            <a:extLst>
              <a:ext uri="{FF2B5EF4-FFF2-40B4-BE49-F238E27FC236}">
                <a16:creationId xmlns:a16="http://schemas.microsoft.com/office/drawing/2014/main" id="{00000000-0008-0000-1800-000016000000}"/>
              </a:ext>
            </a:extLst>
          </xdr:cNvPr>
          <xdr:cNvSpPr/>
        </xdr:nvSpPr>
        <xdr:spPr>
          <a:xfrm>
            <a:off x="10309041" y="5967066"/>
            <a:ext cx="238003" cy="245882"/>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3" name="타원 22">
            <a:extLst>
              <a:ext uri="{FF2B5EF4-FFF2-40B4-BE49-F238E27FC236}">
                <a16:creationId xmlns:a16="http://schemas.microsoft.com/office/drawing/2014/main" id="{00000000-0008-0000-1800-000017000000}"/>
              </a:ext>
            </a:extLst>
          </xdr:cNvPr>
          <xdr:cNvSpPr/>
        </xdr:nvSpPr>
        <xdr:spPr>
          <a:xfrm>
            <a:off x="10282596" y="4071184"/>
            <a:ext cx="238003" cy="245882"/>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4" name="타원 23">
            <a:extLst>
              <a:ext uri="{FF2B5EF4-FFF2-40B4-BE49-F238E27FC236}">
                <a16:creationId xmlns:a16="http://schemas.microsoft.com/office/drawing/2014/main" id="{00000000-0008-0000-1800-000018000000}"/>
              </a:ext>
            </a:extLst>
          </xdr:cNvPr>
          <xdr:cNvSpPr/>
        </xdr:nvSpPr>
        <xdr:spPr>
          <a:xfrm>
            <a:off x="12563450" y="4071184"/>
            <a:ext cx="238003" cy="245882"/>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5" name="타원 24">
            <a:extLst>
              <a:ext uri="{FF2B5EF4-FFF2-40B4-BE49-F238E27FC236}">
                <a16:creationId xmlns:a16="http://schemas.microsoft.com/office/drawing/2014/main" id="{00000000-0008-0000-1800-000019000000}"/>
              </a:ext>
            </a:extLst>
          </xdr:cNvPr>
          <xdr:cNvSpPr/>
        </xdr:nvSpPr>
        <xdr:spPr>
          <a:xfrm>
            <a:off x="12550229" y="6018830"/>
            <a:ext cx="238003" cy="245882"/>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27" name="직선 연결선 26">
            <a:extLst>
              <a:ext uri="{FF2B5EF4-FFF2-40B4-BE49-F238E27FC236}">
                <a16:creationId xmlns:a16="http://schemas.microsoft.com/office/drawing/2014/main" id="{00000000-0008-0000-1800-00001B000000}"/>
              </a:ext>
            </a:extLst>
          </xdr:cNvPr>
          <xdr:cNvCxnSpPr/>
        </xdr:nvCxnSpPr>
        <xdr:spPr>
          <a:xfrm>
            <a:off x="9207304" y="3865693"/>
            <a:ext cx="3728702" cy="3099410"/>
          </a:xfrm>
          <a:prstGeom prst="line">
            <a:avLst/>
          </a:prstGeom>
          <a:ln w="28575">
            <a:solidFill>
              <a:schemeClr val="accent6">
                <a:lumMod val="75000"/>
              </a:schemeClr>
            </a:solidFill>
          </a:ln>
        </xdr:spPr>
        <xdr:style>
          <a:lnRef idx="1">
            <a:schemeClr val="accent6"/>
          </a:lnRef>
          <a:fillRef idx="0">
            <a:schemeClr val="accent6"/>
          </a:fillRef>
          <a:effectRef idx="0">
            <a:schemeClr val="accent6"/>
          </a:effectRef>
          <a:fontRef idx="minor">
            <a:schemeClr val="tx1"/>
          </a:fontRef>
        </xdr:style>
      </xdr:cxnSp>
    </xdr:grpSp>
    <xdr:clientData/>
  </xdr:twoCellAnchor>
  <xdr:twoCellAnchor>
    <xdr:from>
      <xdr:col>15</xdr:col>
      <xdr:colOff>24847</xdr:colOff>
      <xdr:row>40</xdr:row>
      <xdr:rowOff>49695</xdr:rowOff>
    </xdr:from>
    <xdr:to>
      <xdr:col>20</xdr:col>
      <xdr:colOff>447261</xdr:colOff>
      <xdr:row>55</xdr:row>
      <xdr:rowOff>24848</xdr:rowOff>
    </xdr:to>
    <xdr:grpSp>
      <xdr:nvGrpSpPr>
        <xdr:cNvPr id="41" name="그룹 40">
          <a:extLst>
            <a:ext uri="{FF2B5EF4-FFF2-40B4-BE49-F238E27FC236}">
              <a16:creationId xmlns:a16="http://schemas.microsoft.com/office/drawing/2014/main" id="{00000000-0008-0000-1800-000029000000}"/>
            </a:ext>
          </a:extLst>
        </xdr:cNvPr>
        <xdr:cNvGrpSpPr/>
      </xdr:nvGrpSpPr>
      <xdr:grpSpPr>
        <a:xfrm>
          <a:off x="10336695" y="8332304"/>
          <a:ext cx="3859696" cy="3081131"/>
          <a:chOff x="10336695" y="8332304"/>
          <a:chExt cx="3859696" cy="3081131"/>
        </a:xfrm>
      </xdr:grpSpPr>
      <xdr:graphicFrame macro="">
        <xdr:nvGraphicFramePr>
          <xdr:cNvPr id="29" name="차트 28">
            <a:extLst>
              <a:ext uri="{FF2B5EF4-FFF2-40B4-BE49-F238E27FC236}">
                <a16:creationId xmlns:a16="http://schemas.microsoft.com/office/drawing/2014/main" id="{00000000-0008-0000-1800-00001D000000}"/>
              </a:ext>
            </a:extLst>
          </xdr:cNvPr>
          <xdr:cNvGraphicFramePr>
            <a:graphicFrameLocks/>
          </xdr:cNvGraphicFramePr>
        </xdr:nvGraphicFramePr>
        <xdr:xfrm>
          <a:off x="10336695" y="8655326"/>
          <a:ext cx="3226252" cy="2702116"/>
        </xdr:xfrm>
        <a:graphic>
          <a:graphicData uri="http://schemas.openxmlformats.org/drawingml/2006/chart">
            <c:chart xmlns:c="http://schemas.openxmlformats.org/drawingml/2006/chart" xmlns:r="http://schemas.openxmlformats.org/officeDocument/2006/relationships" r:id="rId4"/>
          </a:graphicData>
        </a:graphic>
      </xdr:graphicFrame>
      <xdr:sp macro="" textlink="">
        <xdr:nvSpPr>
          <xdr:cNvPr id="31" name="타원 30">
            <a:extLst>
              <a:ext uri="{FF2B5EF4-FFF2-40B4-BE49-F238E27FC236}">
                <a16:creationId xmlns:a16="http://schemas.microsoft.com/office/drawing/2014/main" id="{00000000-0008-0000-1800-00001F000000}"/>
              </a:ext>
            </a:extLst>
          </xdr:cNvPr>
          <xdr:cNvSpPr/>
        </xdr:nvSpPr>
        <xdr:spPr>
          <a:xfrm>
            <a:off x="10585174" y="10908196"/>
            <a:ext cx="231913" cy="248478"/>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2" name="타원 31">
            <a:extLst>
              <a:ext uri="{FF2B5EF4-FFF2-40B4-BE49-F238E27FC236}">
                <a16:creationId xmlns:a16="http://schemas.microsoft.com/office/drawing/2014/main" id="{00000000-0008-0000-1800-000020000000}"/>
              </a:ext>
            </a:extLst>
          </xdr:cNvPr>
          <xdr:cNvSpPr/>
        </xdr:nvSpPr>
        <xdr:spPr>
          <a:xfrm>
            <a:off x="12796630" y="9036326"/>
            <a:ext cx="231913" cy="248478"/>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3" name="타원 32">
            <a:extLst>
              <a:ext uri="{FF2B5EF4-FFF2-40B4-BE49-F238E27FC236}">
                <a16:creationId xmlns:a16="http://schemas.microsoft.com/office/drawing/2014/main" id="{00000000-0008-0000-1800-000021000000}"/>
              </a:ext>
            </a:extLst>
          </xdr:cNvPr>
          <xdr:cNvSpPr/>
        </xdr:nvSpPr>
        <xdr:spPr>
          <a:xfrm>
            <a:off x="10552044" y="9094305"/>
            <a:ext cx="231913" cy="248478"/>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6" name="타원 35">
            <a:extLst>
              <a:ext uri="{FF2B5EF4-FFF2-40B4-BE49-F238E27FC236}">
                <a16:creationId xmlns:a16="http://schemas.microsoft.com/office/drawing/2014/main" id="{00000000-0008-0000-1800-000024000000}"/>
              </a:ext>
            </a:extLst>
          </xdr:cNvPr>
          <xdr:cNvSpPr/>
        </xdr:nvSpPr>
        <xdr:spPr>
          <a:xfrm>
            <a:off x="12755217" y="10933044"/>
            <a:ext cx="231913" cy="248478"/>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38" name="직선 연결선 37">
            <a:extLst>
              <a:ext uri="{FF2B5EF4-FFF2-40B4-BE49-F238E27FC236}">
                <a16:creationId xmlns:a16="http://schemas.microsoft.com/office/drawing/2014/main" id="{00000000-0008-0000-1800-000026000000}"/>
              </a:ext>
            </a:extLst>
          </xdr:cNvPr>
          <xdr:cNvCxnSpPr/>
        </xdr:nvCxnSpPr>
        <xdr:spPr>
          <a:xfrm>
            <a:off x="10941325" y="8332304"/>
            <a:ext cx="3255066" cy="3081131"/>
          </a:xfrm>
          <a:prstGeom prst="line">
            <a:avLst/>
          </a:prstGeom>
          <a:ln w="28575"/>
        </xdr:spPr>
        <xdr:style>
          <a:lnRef idx="1">
            <a:schemeClr val="accent6"/>
          </a:lnRef>
          <a:fillRef idx="0">
            <a:schemeClr val="accent6"/>
          </a:fillRef>
          <a:effectRef idx="0">
            <a:schemeClr val="accent6"/>
          </a:effectRef>
          <a:fontRef idx="minor">
            <a:schemeClr val="tx1"/>
          </a:fontRef>
        </xdr:style>
      </xdr:cxnSp>
    </xdr:grpSp>
    <xdr:clientData/>
  </xdr:twoCellAnchor>
</xdr:wsDr>
</file>

<file path=xl/drawings/drawing21.xml><?xml version="1.0" encoding="utf-8"?>
<xdr:wsDr xmlns:xdr="http://schemas.openxmlformats.org/drawingml/2006/spreadsheetDrawing" xmlns:a="http://schemas.openxmlformats.org/drawingml/2006/main">
  <xdr:twoCellAnchor>
    <xdr:from>
      <xdr:col>7</xdr:col>
      <xdr:colOff>571499</xdr:colOff>
      <xdr:row>12</xdr:row>
      <xdr:rowOff>131884</xdr:rowOff>
    </xdr:from>
    <xdr:to>
      <xdr:col>8</xdr:col>
      <xdr:colOff>337038</xdr:colOff>
      <xdr:row>14</xdr:row>
      <xdr:rowOff>161192</xdr:rowOff>
    </xdr:to>
    <xdr:sp macro="" textlink="">
      <xdr:nvSpPr>
        <xdr:cNvPr id="2" name="타원 1">
          <a:extLst>
            <a:ext uri="{FF2B5EF4-FFF2-40B4-BE49-F238E27FC236}">
              <a16:creationId xmlns:a16="http://schemas.microsoft.com/office/drawing/2014/main" id="{00000000-0008-0000-1900-000002000000}"/>
            </a:ext>
          </a:extLst>
        </xdr:cNvPr>
        <xdr:cNvSpPr/>
      </xdr:nvSpPr>
      <xdr:spPr>
        <a:xfrm>
          <a:off x="5372099" y="2646484"/>
          <a:ext cx="451339" cy="44840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586154</xdr:colOff>
      <xdr:row>15</xdr:row>
      <xdr:rowOff>124557</xdr:rowOff>
    </xdr:from>
    <xdr:to>
      <xdr:col>8</xdr:col>
      <xdr:colOff>351693</xdr:colOff>
      <xdr:row>17</xdr:row>
      <xdr:rowOff>153866</xdr:rowOff>
    </xdr:to>
    <xdr:sp macro="" textlink="">
      <xdr:nvSpPr>
        <xdr:cNvPr id="3" name="타원 2">
          <a:extLst>
            <a:ext uri="{FF2B5EF4-FFF2-40B4-BE49-F238E27FC236}">
              <a16:creationId xmlns:a16="http://schemas.microsoft.com/office/drawing/2014/main" id="{00000000-0008-0000-1900-000003000000}"/>
            </a:ext>
          </a:extLst>
        </xdr:cNvPr>
        <xdr:cNvSpPr/>
      </xdr:nvSpPr>
      <xdr:spPr>
        <a:xfrm>
          <a:off x="5386754" y="3267807"/>
          <a:ext cx="451339" cy="448409"/>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117867</xdr:colOff>
      <xdr:row>13</xdr:row>
      <xdr:rowOff>17836</xdr:rowOff>
    </xdr:from>
    <xdr:to>
      <xdr:col>12</xdr:col>
      <xdr:colOff>570862</xdr:colOff>
      <xdr:row>15</xdr:row>
      <xdr:rowOff>47146</xdr:rowOff>
    </xdr:to>
    <xdr:sp macro="" textlink="">
      <xdr:nvSpPr>
        <xdr:cNvPr id="5" name="타원 4">
          <a:extLst>
            <a:ext uri="{FF2B5EF4-FFF2-40B4-BE49-F238E27FC236}">
              <a16:creationId xmlns:a16="http://schemas.microsoft.com/office/drawing/2014/main" id="{00000000-0008-0000-1900-000005000000}"/>
            </a:ext>
          </a:extLst>
        </xdr:cNvPr>
        <xdr:cNvSpPr/>
      </xdr:nvSpPr>
      <xdr:spPr>
        <a:xfrm>
          <a:off x="8367345" y="2709684"/>
          <a:ext cx="452995" cy="44344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1100"/>
            <a:t>00</a:t>
          </a:r>
          <a:endParaRPr lang="ko-KR" altLang="en-US" sz="1100"/>
        </a:p>
      </xdr:txBody>
    </xdr:sp>
    <xdr:clientData/>
  </xdr:twoCellAnchor>
  <xdr:twoCellAnchor>
    <xdr:from>
      <xdr:col>8</xdr:col>
      <xdr:colOff>460640</xdr:colOff>
      <xdr:row>8</xdr:row>
      <xdr:rowOff>90999</xdr:rowOff>
    </xdr:from>
    <xdr:to>
      <xdr:col>9</xdr:col>
      <xdr:colOff>306457</xdr:colOff>
      <xdr:row>10</xdr:row>
      <xdr:rowOff>198891</xdr:rowOff>
    </xdr:to>
    <xdr:sp macro="" textlink="">
      <xdr:nvSpPr>
        <xdr:cNvPr id="25" name="타원 24">
          <a:extLst>
            <a:ext uri="{FF2B5EF4-FFF2-40B4-BE49-F238E27FC236}">
              <a16:creationId xmlns:a16="http://schemas.microsoft.com/office/drawing/2014/main" id="{00000000-0008-0000-1900-000019000000}"/>
            </a:ext>
          </a:extLst>
        </xdr:cNvPr>
        <xdr:cNvSpPr/>
      </xdr:nvSpPr>
      <xdr:spPr>
        <a:xfrm>
          <a:off x="5960292" y="1747521"/>
          <a:ext cx="533274" cy="522022"/>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ko-KR" sz="1100"/>
            <a:t>b1</a:t>
          </a:r>
          <a:endParaRPr lang="ko-KR" altLang="en-US" sz="1100"/>
        </a:p>
      </xdr:txBody>
    </xdr:sp>
    <xdr:clientData/>
  </xdr:twoCellAnchor>
  <xdr:twoCellAnchor>
    <xdr:from>
      <xdr:col>9</xdr:col>
      <xdr:colOff>612912</xdr:colOff>
      <xdr:row>12</xdr:row>
      <xdr:rowOff>65624</xdr:rowOff>
    </xdr:from>
    <xdr:to>
      <xdr:col>10</xdr:col>
      <xdr:colOff>378451</xdr:colOff>
      <xdr:row>14</xdr:row>
      <xdr:rowOff>94932</xdr:rowOff>
    </xdr:to>
    <xdr:sp macro="" textlink="">
      <xdr:nvSpPr>
        <xdr:cNvPr id="26" name="타원 25">
          <a:extLst>
            <a:ext uri="{FF2B5EF4-FFF2-40B4-BE49-F238E27FC236}">
              <a16:creationId xmlns:a16="http://schemas.microsoft.com/office/drawing/2014/main" id="{00000000-0008-0000-1900-00001A000000}"/>
            </a:ext>
          </a:extLst>
        </xdr:cNvPr>
        <xdr:cNvSpPr/>
      </xdr:nvSpPr>
      <xdr:spPr>
        <a:xfrm>
          <a:off x="6800021" y="2550407"/>
          <a:ext cx="452995" cy="44343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654326</xdr:colOff>
      <xdr:row>15</xdr:row>
      <xdr:rowOff>123603</xdr:rowOff>
    </xdr:from>
    <xdr:to>
      <xdr:col>10</xdr:col>
      <xdr:colOff>419865</xdr:colOff>
      <xdr:row>17</xdr:row>
      <xdr:rowOff>152910</xdr:rowOff>
    </xdr:to>
    <xdr:sp macro="" textlink="">
      <xdr:nvSpPr>
        <xdr:cNvPr id="28" name="타원 27">
          <a:extLst>
            <a:ext uri="{FF2B5EF4-FFF2-40B4-BE49-F238E27FC236}">
              <a16:creationId xmlns:a16="http://schemas.microsoft.com/office/drawing/2014/main" id="{00000000-0008-0000-1900-00001C000000}"/>
            </a:ext>
          </a:extLst>
        </xdr:cNvPr>
        <xdr:cNvSpPr/>
      </xdr:nvSpPr>
      <xdr:spPr>
        <a:xfrm>
          <a:off x="6841435" y="3229581"/>
          <a:ext cx="452995" cy="44343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444075</xdr:colOff>
      <xdr:row>8</xdr:row>
      <xdr:rowOff>90999</xdr:rowOff>
    </xdr:from>
    <xdr:to>
      <xdr:col>11</xdr:col>
      <xdr:colOff>289892</xdr:colOff>
      <xdr:row>10</xdr:row>
      <xdr:rowOff>198891</xdr:rowOff>
    </xdr:to>
    <xdr:sp macro="" textlink="">
      <xdr:nvSpPr>
        <xdr:cNvPr id="29" name="타원 28">
          <a:extLst>
            <a:ext uri="{FF2B5EF4-FFF2-40B4-BE49-F238E27FC236}">
              <a16:creationId xmlns:a16="http://schemas.microsoft.com/office/drawing/2014/main" id="{00000000-0008-0000-1900-00001D000000}"/>
            </a:ext>
          </a:extLst>
        </xdr:cNvPr>
        <xdr:cNvSpPr/>
      </xdr:nvSpPr>
      <xdr:spPr>
        <a:xfrm>
          <a:off x="7318640" y="1747521"/>
          <a:ext cx="533274" cy="522022"/>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ko-KR" sz="1100"/>
            <a:t>b2</a:t>
          </a:r>
          <a:endParaRPr lang="ko-KR" altLang="en-US" sz="1100"/>
        </a:p>
      </xdr:txBody>
    </xdr:sp>
    <xdr:clientData/>
  </xdr:twoCellAnchor>
  <xdr:twoCellAnchor>
    <xdr:from>
      <xdr:col>8</xdr:col>
      <xdr:colOff>337038</xdr:colOff>
      <xdr:row>13</xdr:row>
      <xdr:rowOff>80278</xdr:rowOff>
    </xdr:from>
    <xdr:to>
      <xdr:col>9</xdr:col>
      <xdr:colOff>612912</xdr:colOff>
      <xdr:row>13</xdr:row>
      <xdr:rowOff>146538</xdr:rowOff>
    </xdr:to>
    <xdr:cxnSp macro="">
      <xdr:nvCxnSpPr>
        <xdr:cNvPr id="31" name="직선 화살표 연결선 30">
          <a:extLst>
            <a:ext uri="{FF2B5EF4-FFF2-40B4-BE49-F238E27FC236}">
              <a16:creationId xmlns:a16="http://schemas.microsoft.com/office/drawing/2014/main" id="{00000000-0008-0000-1900-00001F000000}"/>
            </a:ext>
          </a:extLst>
        </xdr:cNvPr>
        <xdr:cNvCxnSpPr>
          <a:stCxn id="2" idx="6"/>
          <a:endCxn id="26" idx="2"/>
        </xdr:cNvCxnSpPr>
      </xdr:nvCxnSpPr>
      <xdr:spPr>
        <a:xfrm flipV="1">
          <a:off x="5836690" y="2772126"/>
          <a:ext cx="963331" cy="6626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337038</xdr:colOff>
      <xdr:row>13</xdr:row>
      <xdr:rowOff>146538</xdr:rowOff>
    </xdr:from>
    <xdr:to>
      <xdr:col>9</xdr:col>
      <xdr:colOff>654326</xdr:colOff>
      <xdr:row>16</xdr:row>
      <xdr:rowOff>138257</xdr:rowOff>
    </xdr:to>
    <xdr:cxnSp macro="">
      <xdr:nvCxnSpPr>
        <xdr:cNvPr id="33" name="직선 화살표 연결선 32">
          <a:extLst>
            <a:ext uri="{FF2B5EF4-FFF2-40B4-BE49-F238E27FC236}">
              <a16:creationId xmlns:a16="http://schemas.microsoft.com/office/drawing/2014/main" id="{00000000-0008-0000-1900-000021000000}"/>
            </a:ext>
          </a:extLst>
        </xdr:cNvPr>
        <xdr:cNvCxnSpPr>
          <a:stCxn id="2" idx="6"/>
          <a:endCxn id="28" idx="2"/>
        </xdr:cNvCxnSpPr>
      </xdr:nvCxnSpPr>
      <xdr:spPr>
        <a:xfrm>
          <a:off x="5836690" y="2838386"/>
          <a:ext cx="1004745" cy="61291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331986</xdr:colOff>
      <xdr:row>14</xdr:row>
      <xdr:rowOff>29992</xdr:rowOff>
    </xdr:from>
    <xdr:to>
      <xdr:col>9</xdr:col>
      <xdr:colOff>659545</xdr:colOff>
      <xdr:row>16</xdr:row>
      <xdr:rowOff>139212</xdr:rowOff>
    </xdr:to>
    <xdr:cxnSp macro="">
      <xdr:nvCxnSpPr>
        <xdr:cNvPr id="35" name="직선 화살표 연결선 34">
          <a:extLst>
            <a:ext uri="{FF2B5EF4-FFF2-40B4-BE49-F238E27FC236}">
              <a16:creationId xmlns:a16="http://schemas.microsoft.com/office/drawing/2014/main" id="{00000000-0008-0000-1900-000023000000}"/>
            </a:ext>
          </a:extLst>
        </xdr:cNvPr>
        <xdr:cNvCxnSpPr/>
      </xdr:nvCxnSpPr>
      <xdr:spPr>
        <a:xfrm flipV="1">
          <a:off x="5797365" y="2999164"/>
          <a:ext cx="1010732" cy="529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351693</xdr:colOff>
      <xdr:row>16</xdr:row>
      <xdr:rowOff>138257</xdr:rowOff>
    </xdr:from>
    <xdr:to>
      <xdr:col>9</xdr:col>
      <xdr:colOff>654326</xdr:colOff>
      <xdr:row>16</xdr:row>
      <xdr:rowOff>139212</xdr:rowOff>
    </xdr:to>
    <xdr:cxnSp macro="">
      <xdr:nvCxnSpPr>
        <xdr:cNvPr id="37" name="직선 화살표 연결선 36">
          <a:extLst>
            <a:ext uri="{FF2B5EF4-FFF2-40B4-BE49-F238E27FC236}">
              <a16:creationId xmlns:a16="http://schemas.microsoft.com/office/drawing/2014/main" id="{00000000-0008-0000-1900-000025000000}"/>
            </a:ext>
          </a:extLst>
        </xdr:cNvPr>
        <xdr:cNvCxnSpPr>
          <a:stCxn id="3" idx="6"/>
          <a:endCxn id="28" idx="2"/>
        </xdr:cNvCxnSpPr>
      </xdr:nvCxnSpPr>
      <xdr:spPr>
        <a:xfrm flipV="1">
          <a:off x="5851345" y="3451300"/>
          <a:ext cx="990090" cy="9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306457</xdr:colOff>
      <xdr:row>9</xdr:row>
      <xdr:rowOff>144945</xdr:rowOff>
    </xdr:from>
    <xdr:to>
      <xdr:col>10</xdr:col>
      <xdr:colOff>151954</xdr:colOff>
      <xdr:row>12</xdr:row>
      <xdr:rowOff>65624</xdr:rowOff>
    </xdr:to>
    <xdr:cxnSp macro="">
      <xdr:nvCxnSpPr>
        <xdr:cNvPr id="39" name="직선 화살표 연결선 38">
          <a:extLst>
            <a:ext uri="{FF2B5EF4-FFF2-40B4-BE49-F238E27FC236}">
              <a16:creationId xmlns:a16="http://schemas.microsoft.com/office/drawing/2014/main" id="{00000000-0008-0000-1900-000027000000}"/>
            </a:ext>
          </a:extLst>
        </xdr:cNvPr>
        <xdr:cNvCxnSpPr>
          <a:stCxn id="25" idx="6"/>
          <a:endCxn id="26" idx="0"/>
        </xdr:cNvCxnSpPr>
      </xdr:nvCxnSpPr>
      <xdr:spPr>
        <a:xfrm>
          <a:off x="6493566" y="2008532"/>
          <a:ext cx="532953" cy="541875"/>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9</xdr:col>
      <xdr:colOff>306457</xdr:colOff>
      <xdr:row>9</xdr:row>
      <xdr:rowOff>144945</xdr:rowOff>
    </xdr:from>
    <xdr:to>
      <xdr:col>10</xdr:col>
      <xdr:colOff>57978</xdr:colOff>
      <xdr:row>16</xdr:row>
      <xdr:rowOff>57979</xdr:rowOff>
    </xdr:to>
    <xdr:cxnSp macro="">
      <xdr:nvCxnSpPr>
        <xdr:cNvPr id="40" name="직선 화살표 연결선 39">
          <a:extLst>
            <a:ext uri="{FF2B5EF4-FFF2-40B4-BE49-F238E27FC236}">
              <a16:creationId xmlns:a16="http://schemas.microsoft.com/office/drawing/2014/main" id="{00000000-0008-0000-1900-000028000000}"/>
            </a:ext>
          </a:extLst>
        </xdr:cNvPr>
        <xdr:cNvCxnSpPr>
          <a:stCxn id="25" idx="6"/>
        </xdr:cNvCxnSpPr>
      </xdr:nvCxnSpPr>
      <xdr:spPr>
        <a:xfrm>
          <a:off x="6478657" y="2068995"/>
          <a:ext cx="437321" cy="1379884"/>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545224</xdr:colOff>
      <xdr:row>12</xdr:row>
      <xdr:rowOff>65690</xdr:rowOff>
    </xdr:from>
    <xdr:to>
      <xdr:col>9</xdr:col>
      <xdr:colOff>321879</xdr:colOff>
      <xdr:row>13</xdr:row>
      <xdr:rowOff>45983</xdr:rowOff>
    </xdr:to>
    <xdr:sp macro="" textlink="">
      <xdr:nvSpPr>
        <xdr:cNvPr id="43" name="TextBox 42">
          <a:extLst>
            <a:ext uri="{FF2B5EF4-FFF2-40B4-BE49-F238E27FC236}">
              <a16:creationId xmlns:a16="http://schemas.microsoft.com/office/drawing/2014/main" id="{00000000-0008-0000-1900-00002B000000}"/>
            </a:ext>
          </a:extLst>
        </xdr:cNvPr>
        <xdr:cNvSpPr txBox="1"/>
      </xdr:nvSpPr>
      <xdr:spPr>
        <a:xfrm>
          <a:off x="6010603" y="2614449"/>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w0</a:t>
          </a:r>
          <a:endParaRPr lang="ko-KR" altLang="en-US" sz="900"/>
        </a:p>
      </xdr:txBody>
    </xdr:sp>
    <xdr:clientData/>
  </xdr:twoCellAnchor>
  <xdr:twoCellAnchor>
    <xdr:from>
      <xdr:col>8</xdr:col>
      <xdr:colOff>459827</xdr:colOff>
      <xdr:row>13</xdr:row>
      <xdr:rowOff>197068</xdr:rowOff>
    </xdr:from>
    <xdr:to>
      <xdr:col>9</xdr:col>
      <xdr:colOff>236482</xdr:colOff>
      <xdr:row>14</xdr:row>
      <xdr:rowOff>177362</xdr:rowOff>
    </xdr:to>
    <xdr:sp macro="" textlink="">
      <xdr:nvSpPr>
        <xdr:cNvPr id="44" name="TextBox 43">
          <a:extLst>
            <a:ext uri="{FF2B5EF4-FFF2-40B4-BE49-F238E27FC236}">
              <a16:creationId xmlns:a16="http://schemas.microsoft.com/office/drawing/2014/main" id="{00000000-0008-0000-1900-00002C000000}"/>
            </a:ext>
          </a:extLst>
        </xdr:cNvPr>
        <xdr:cNvSpPr txBox="1"/>
      </xdr:nvSpPr>
      <xdr:spPr>
        <a:xfrm>
          <a:off x="5925206" y="2956034"/>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w1</a:t>
          </a:r>
          <a:endParaRPr lang="ko-KR" altLang="en-US" sz="900"/>
        </a:p>
      </xdr:txBody>
    </xdr:sp>
    <xdr:clientData/>
  </xdr:twoCellAnchor>
  <xdr:twoCellAnchor>
    <xdr:from>
      <xdr:col>8</xdr:col>
      <xdr:colOff>479533</xdr:colOff>
      <xdr:row>15</xdr:row>
      <xdr:rowOff>72259</xdr:rowOff>
    </xdr:from>
    <xdr:to>
      <xdr:col>9</xdr:col>
      <xdr:colOff>256188</xdr:colOff>
      <xdr:row>16</xdr:row>
      <xdr:rowOff>52552</xdr:rowOff>
    </xdr:to>
    <xdr:sp macro="" textlink="">
      <xdr:nvSpPr>
        <xdr:cNvPr id="45" name="TextBox 44">
          <a:extLst>
            <a:ext uri="{FF2B5EF4-FFF2-40B4-BE49-F238E27FC236}">
              <a16:creationId xmlns:a16="http://schemas.microsoft.com/office/drawing/2014/main" id="{00000000-0008-0000-1900-00002D000000}"/>
            </a:ext>
          </a:extLst>
        </xdr:cNvPr>
        <xdr:cNvSpPr txBox="1"/>
      </xdr:nvSpPr>
      <xdr:spPr>
        <a:xfrm>
          <a:off x="5944912" y="3251638"/>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w2</a:t>
          </a:r>
          <a:endParaRPr lang="ko-KR" altLang="en-US" sz="900"/>
        </a:p>
      </xdr:txBody>
    </xdr:sp>
    <xdr:clientData/>
  </xdr:twoCellAnchor>
  <xdr:twoCellAnchor>
    <xdr:from>
      <xdr:col>8</xdr:col>
      <xdr:colOff>591206</xdr:colOff>
      <xdr:row>16</xdr:row>
      <xdr:rowOff>72259</xdr:rowOff>
    </xdr:from>
    <xdr:to>
      <xdr:col>9</xdr:col>
      <xdr:colOff>367861</xdr:colOff>
      <xdr:row>17</xdr:row>
      <xdr:rowOff>52552</xdr:rowOff>
    </xdr:to>
    <xdr:sp macro="" textlink="">
      <xdr:nvSpPr>
        <xdr:cNvPr id="46" name="TextBox 45">
          <a:extLst>
            <a:ext uri="{FF2B5EF4-FFF2-40B4-BE49-F238E27FC236}">
              <a16:creationId xmlns:a16="http://schemas.microsoft.com/office/drawing/2014/main" id="{00000000-0008-0000-1900-00002E000000}"/>
            </a:ext>
          </a:extLst>
        </xdr:cNvPr>
        <xdr:cNvSpPr txBox="1"/>
      </xdr:nvSpPr>
      <xdr:spPr>
        <a:xfrm>
          <a:off x="6056585" y="3461845"/>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w3</a:t>
          </a:r>
          <a:endParaRPr lang="ko-KR" altLang="en-US" sz="900"/>
        </a:p>
      </xdr:txBody>
    </xdr:sp>
    <xdr:clientData/>
  </xdr:twoCellAnchor>
  <xdr:twoCellAnchor>
    <xdr:from>
      <xdr:col>10</xdr:col>
      <xdr:colOff>378451</xdr:colOff>
      <xdr:row>13</xdr:row>
      <xdr:rowOff>80278</xdr:rowOff>
    </xdr:from>
    <xdr:to>
      <xdr:col>12</xdr:col>
      <xdr:colOff>117867</xdr:colOff>
      <xdr:row>14</xdr:row>
      <xdr:rowOff>32491</xdr:rowOff>
    </xdr:to>
    <xdr:cxnSp macro="">
      <xdr:nvCxnSpPr>
        <xdr:cNvPr id="48" name="직선 화살표 연결선 47">
          <a:extLst>
            <a:ext uri="{FF2B5EF4-FFF2-40B4-BE49-F238E27FC236}">
              <a16:creationId xmlns:a16="http://schemas.microsoft.com/office/drawing/2014/main" id="{00000000-0008-0000-1900-000030000000}"/>
            </a:ext>
          </a:extLst>
        </xdr:cNvPr>
        <xdr:cNvCxnSpPr>
          <a:stCxn id="26" idx="6"/>
          <a:endCxn id="5" idx="2"/>
        </xdr:cNvCxnSpPr>
      </xdr:nvCxnSpPr>
      <xdr:spPr>
        <a:xfrm>
          <a:off x="7236451" y="2842528"/>
          <a:ext cx="1111016" cy="1617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419865</xdr:colOff>
      <xdr:row>14</xdr:row>
      <xdr:rowOff>32491</xdr:rowOff>
    </xdr:from>
    <xdr:to>
      <xdr:col>12</xdr:col>
      <xdr:colOff>117867</xdr:colOff>
      <xdr:row>16</xdr:row>
      <xdr:rowOff>138257</xdr:rowOff>
    </xdr:to>
    <xdr:cxnSp macro="">
      <xdr:nvCxnSpPr>
        <xdr:cNvPr id="50" name="직선 화살표 연결선 49">
          <a:extLst>
            <a:ext uri="{FF2B5EF4-FFF2-40B4-BE49-F238E27FC236}">
              <a16:creationId xmlns:a16="http://schemas.microsoft.com/office/drawing/2014/main" id="{00000000-0008-0000-1900-000032000000}"/>
            </a:ext>
          </a:extLst>
        </xdr:cNvPr>
        <xdr:cNvCxnSpPr>
          <a:stCxn id="28" idx="6"/>
          <a:endCxn id="5" idx="2"/>
        </xdr:cNvCxnSpPr>
      </xdr:nvCxnSpPr>
      <xdr:spPr>
        <a:xfrm flipV="1">
          <a:off x="7277865" y="3004291"/>
          <a:ext cx="1069602" cy="5248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289892</xdr:colOff>
      <xdr:row>9</xdr:row>
      <xdr:rowOff>140183</xdr:rowOff>
    </xdr:from>
    <xdr:to>
      <xdr:col>12</xdr:col>
      <xdr:colOff>184207</xdr:colOff>
      <xdr:row>13</xdr:row>
      <xdr:rowOff>83504</xdr:rowOff>
    </xdr:to>
    <xdr:cxnSp macro="">
      <xdr:nvCxnSpPr>
        <xdr:cNvPr id="52" name="직선 화살표 연결선 51">
          <a:extLst>
            <a:ext uri="{FF2B5EF4-FFF2-40B4-BE49-F238E27FC236}">
              <a16:creationId xmlns:a16="http://schemas.microsoft.com/office/drawing/2014/main" id="{00000000-0008-0000-1900-000034000000}"/>
            </a:ext>
          </a:extLst>
        </xdr:cNvPr>
        <xdr:cNvCxnSpPr>
          <a:stCxn id="29" idx="6"/>
          <a:endCxn id="5" idx="1"/>
        </xdr:cNvCxnSpPr>
      </xdr:nvCxnSpPr>
      <xdr:spPr>
        <a:xfrm>
          <a:off x="7833692" y="2064233"/>
          <a:ext cx="580115" cy="781521"/>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78499</xdr:colOff>
      <xdr:row>12</xdr:row>
      <xdr:rowOff>179990</xdr:rowOff>
    </xdr:from>
    <xdr:to>
      <xdr:col>11</xdr:col>
      <xdr:colOff>540954</xdr:colOff>
      <xdr:row>13</xdr:row>
      <xdr:rowOff>160283</xdr:rowOff>
    </xdr:to>
    <xdr:sp macro="" textlink="">
      <xdr:nvSpPr>
        <xdr:cNvPr id="53" name="TextBox 52">
          <a:extLst>
            <a:ext uri="{FF2B5EF4-FFF2-40B4-BE49-F238E27FC236}">
              <a16:creationId xmlns:a16="http://schemas.microsoft.com/office/drawing/2014/main" id="{00000000-0008-0000-1900-000035000000}"/>
            </a:ext>
          </a:extLst>
        </xdr:cNvPr>
        <xdr:cNvSpPr txBox="1"/>
      </xdr:nvSpPr>
      <xdr:spPr>
        <a:xfrm>
          <a:off x="7622299" y="2732690"/>
          <a:ext cx="462455" cy="1898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w4</a:t>
          </a:r>
          <a:endParaRPr lang="ko-KR" altLang="en-US" sz="900"/>
        </a:p>
      </xdr:txBody>
    </xdr:sp>
    <xdr:clientData/>
  </xdr:twoCellAnchor>
  <xdr:twoCellAnchor>
    <xdr:from>
      <xdr:col>11</xdr:col>
      <xdr:colOff>124481</xdr:colOff>
      <xdr:row>15</xdr:row>
      <xdr:rowOff>15766</xdr:rowOff>
    </xdr:from>
    <xdr:to>
      <xdr:col>11</xdr:col>
      <xdr:colOff>586936</xdr:colOff>
      <xdr:row>15</xdr:row>
      <xdr:rowOff>206266</xdr:rowOff>
    </xdr:to>
    <xdr:sp macro="" textlink="">
      <xdr:nvSpPr>
        <xdr:cNvPr id="54" name="TextBox 53">
          <a:extLst>
            <a:ext uri="{FF2B5EF4-FFF2-40B4-BE49-F238E27FC236}">
              <a16:creationId xmlns:a16="http://schemas.microsoft.com/office/drawing/2014/main" id="{00000000-0008-0000-1900-000036000000}"/>
            </a:ext>
          </a:extLst>
        </xdr:cNvPr>
        <xdr:cNvSpPr txBox="1"/>
      </xdr:nvSpPr>
      <xdr:spPr>
        <a:xfrm>
          <a:off x="7639378" y="3195145"/>
          <a:ext cx="462455"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w5</a:t>
          </a:r>
          <a:endParaRPr lang="ko-KR" altLang="en-US" sz="900"/>
        </a:p>
      </xdr:txBody>
    </xdr:sp>
    <xdr:clientData/>
  </xdr:twoCellAnchor>
  <xdr:twoCellAnchor>
    <xdr:from>
      <xdr:col>11</xdr:col>
      <xdr:colOff>273326</xdr:colOff>
      <xdr:row>28</xdr:row>
      <xdr:rowOff>182219</xdr:rowOff>
    </xdr:from>
    <xdr:to>
      <xdr:col>11</xdr:col>
      <xdr:colOff>438978</xdr:colOff>
      <xdr:row>29</xdr:row>
      <xdr:rowOff>190500</xdr:rowOff>
    </xdr:to>
    <xdr:sp macro="" textlink="">
      <xdr:nvSpPr>
        <xdr:cNvPr id="4" name="타원 3">
          <a:extLst>
            <a:ext uri="{FF2B5EF4-FFF2-40B4-BE49-F238E27FC236}">
              <a16:creationId xmlns:a16="http://schemas.microsoft.com/office/drawing/2014/main" id="{00000000-0008-0000-1900-000004000000}"/>
            </a:ext>
          </a:extLst>
        </xdr:cNvPr>
        <xdr:cNvSpPr/>
      </xdr:nvSpPr>
      <xdr:spPr>
        <a:xfrm>
          <a:off x="7835348" y="6062871"/>
          <a:ext cx="165652" cy="21534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281609</xdr:colOff>
      <xdr:row>30</xdr:row>
      <xdr:rowOff>173936</xdr:rowOff>
    </xdr:from>
    <xdr:to>
      <xdr:col>11</xdr:col>
      <xdr:colOff>447261</xdr:colOff>
      <xdr:row>31</xdr:row>
      <xdr:rowOff>182217</xdr:rowOff>
    </xdr:to>
    <xdr:sp macro="" textlink="">
      <xdr:nvSpPr>
        <xdr:cNvPr id="27" name="타원 26">
          <a:extLst>
            <a:ext uri="{FF2B5EF4-FFF2-40B4-BE49-F238E27FC236}">
              <a16:creationId xmlns:a16="http://schemas.microsoft.com/office/drawing/2014/main" id="{00000000-0008-0000-1900-00001B000000}"/>
            </a:ext>
          </a:extLst>
        </xdr:cNvPr>
        <xdr:cNvSpPr/>
      </xdr:nvSpPr>
      <xdr:spPr>
        <a:xfrm>
          <a:off x="7843631" y="6468719"/>
          <a:ext cx="165652" cy="21534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313082</xdr:colOff>
      <xdr:row>34</xdr:row>
      <xdr:rowOff>110158</xdr:rowOff>
    </xdr:from>
    <xdr:ext cx="192681" cy="438325"/>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900-000006000000}"/>
                </a:ext>
              </a:extLst>
            </xdr:cNvPr>
            <xdr:cNvSpPr txBox="1"/>
          </xdr:nvSpPr>
          <xdr:spPr>
            <a:xfrm>
              <a:off x="7875104" y="7233201"/>
              <a:ext cx="192681"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2800" i="1">
                        <a:latin typeface="Cambria Math" panose="02040503050406030204" pitchFamily="18" charset="0"/>
                      </a:rPr>
                      <m:t>⋮</m:t>
                    </m:r>
                  </m:oMath>
                </m:oMathPara>
              </a14:m>
              <a:endParaRPr lang="ko-KR" altLang="en-US" sz="2800"/>
            </a:p>
          </xdr:txBody>
        </xdr:sp>
      </mc:Choice>
      <mc:Fallback xmlns="">
        <xdr:sp macro="" textlink="">
          <xdr:nvSpPr>
            <xdr:cNvPr id="6" name="TextBox 5"/>
            <xdr:cNvSpPr txBox="1"/>
          </xdr:nvSpPr>
          <xdr:spPr>
            <a:xfrm>
              <a:off x="7875104" y="7233201"/>
              <a:ext cx="192681"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800" i="0">
                  <a:latin typeface="Cambria Math" panose="02040503050406030204" pitchFamily="18" charset="0"/>
                </a:rPr>
                <a:t>⋮</a:t>
              </a:r>
              <a:endParaRPr lang="ko-KR" altLang="en-US" sz="2800"/>
            </a:p>
          </xdr:txBody>
        </xdr:sp>
      </mc:Fallback>
    </mc:AlternateContent>
    <xdr:clientData/>
  </xdr:oneCellAnchor>
  <xdr:twoCellAnchor>
    <xdr:from>
      <xdr:col>11</xdr:col>
      <xdr:colOff>314739</xdr:colOff>
      <xdr:row>41</xdr:row>
      <xdr:rowOff>140806</xdr:rowOff>
    </xdr:from>
    <xdr:to>
      <xdr:col>11</xdr:col>
      <xdr:colOff>480391</xdr:colOff>
      <xdr:row>42</xdr:row>
      <xdr:rowOff>149087</xdr:rowOff>
    </xdr:to>
    <xdr:sp macro="" textlink="">
      <xdr:nvSpPr>
        <xdr:cNvPr id="30" name="타원 29">
          <a:extLst>
            <a:ext uri="{FF2B5EF4-FFF2-40B4-BE49-F238E27FC236}">
              <a16:creationId xmlns:a16="http://schemas.microsoft.com/office/drawing/2014/main" id="{00000000-0008-0000-1900-00001E000000}"/>
            </a:ext>
          </a:extLst>
        </xdr:cNvPr>
        <xdr:cNvSpPr/>
      </xdr:nvSpPr>
      <xdr:spPr>
        <a:xfrm>
          <a:off x="7876761" y="8713306"/>
          <a:ext cx="165652" cy="21534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455544</xdr:colOff>
      <xdr:row>31</xdr:row>
      <xdr:rowOff>33130</xdr:rowOff>
    </xdr:from>
    <xdr:to>
      <xdr:col>16</xdr:col>
      <xdr:colOff>298174</xdr:colOff>
      <xdr:row>36</xdr:row>
      <xdr:rowOff>41413</xdr:rowOff>
    </xdr:to>
    <xdr:cxnSp macro="">
      <xdr:nvCxnSpPr>
        <xdr:cNvPr id="8" name="직선 화살표 연결선 7">
          <a:extLst>
            <a:ext uri="{FF2B5EF4-FFF2-40B4-BE49-F238E27FC236}">
              <a16:creationId xmlns:a16="http://schemas.microsoft.com/office/drawing/2014/main" id="{00000000-0008-0000-1900-000008000000}"/>
            </a:ext>
          </a:extLst>
        </xdr:cNvPr>
        <xdr:cNvCxnSpPr/>
      </xdr:nvCxnSpPr>
      <xdr:spPr>
        <a:xfrm flipH="1" flipV="1">
          <a:off x="8705022" y="6534978"/>
          <a:ext cx="2592456" cy="10436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0</xdr:colOff>
      <xdr:row>27</xdr:row>
      <xdr:rowOff>66261</xdr:rowOff>
    </xdr:from>
    <xdr:ext cx="347421" cy="40584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1900-000009000000}"/>
                </a:ext>
              </a:extLst>
            </xdr:cNvPr>
            <xdr:cNvSpPr txBox="1"/>
          </xdr:nvSpPr>
          <xdr:spPr>
            <a:xfrm>
              <a:off x="10311848" y="5739848"/>
              <a:ext cx="347421" cy="40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a14:m>
                <m:oMathPara xmlns:m="http://schemas.openxmlformats.org/officeDocument/2006/math">
                  <m:oMathParaPr>
                    <m:jc m:val="centerGroup"/>
                  </m:oMathParaPr>
                  <m:oMath xmlns:m="http://schemas.openxmlformats.org/officeDocument/2006/math">
                    <m:r>
                      <a:rPr lang="ko-KR" altLang="en-US" sz="2000" i="1">
                        <a:latin typeface="Cambria Math" panose="02040503050406030204" pitchFamily="18" charset="0"/>
                      </a:rPr>
                      <m:t>𝜂</m:t>
                    </m:r>
                  </m:oMath>
                </m:oMathPara>
              </a14:m>
              <a:endParaRPr lang="ko-KR" altLang="en-US" sz="2000"/>
            </a:p>
          </xdr:txBody>
        </xdr:sp>
      </mc:Choice>
      <mc:Fallback xmlns="">
        <xdr:sp macro="" textlink="">
          <xdr:nvSpPr>
            <xdr:cNvPr id="9" name="TextBox 8"/>
            <xdr:cNvSpPr txBox="1"/>
          </xdr:nvSpPr>
          <xdr:spPr>
            <a:xfrm>
              <a:off x="10311848" y="5739848"/>
              <a:ext cx="347421" cy="40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ko-KR" altLang="en-US" sz="2000" i="0">
                  <a:latin typeface="Cambria Math" panose="02040503050406030204" pitchFamily="18" charset="0"/>
                </a:rPr>
                <a:t>𝜂</a:t>
              </a:r>
              <a:endParaRPr lang="ko-KR" altLang="en-US" sz="2000"/>
            </a:p>
          </xdr:txBody>
        </xdr:sp>
      </mc:Fallback>
    </mc:AlternateContent>
    <xdr:clientData/>
  </xdr:oneCellAnchor>
  <xdr:oneCellAnchor>
    <xdr:from>
      <xdr:col>21</xdr:col>
      <xdr:colOff>40341</xdr:colOff>
      <xdr:row>26</xdr:row>
      <xdr:rowOff>174531</xdr:rowOff>
    </xdr:from>
    <xdr:ext cx="175626" cy="28180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0000000-0008-0000-1900-00000A000000}"/>
                </a:ext>
              </a:extLst>
            </xdr:cNvPr>
            <xdr:cNvSpPr txBox="1"/>
          </xdr:nvSpPr>
          <xdr:spPr>
            <a:xfrm>
              <a:off x="14395076" y="5822296"/>
              <a:ext cx="175626"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𝜆</m:t>
                    </m:r>
                  </m:oMath>
                </m:oMathPara>
              </a14:m>
              <a:endParaRPr lang="ko-KR" altLang="en-US" sz="1800"/>
            </a:p>
          </xdr:txBody>
        </xdr:sp>
      </mc:Choice>
      <mc:Fallback xmlns="">
        <xdr:sp macro="" textlink="">
          <xdr:nvSpPr>
            <xdr:cNvPr id="10" name="TextBox 9"/>
            <xdr:cNvSpPr txBox="1"/>
          </xdr:nvSpPr>
          <xdr:spPr>
            <a:xfrm>
              <a:off x="14395076" y="5822296"/>
              <a:ext cx="175626"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1800" i="0">
                  <a:latin typeface="Cambria Math" panose="02040503050406030204" pitchFamily="18" charset="0"/>
                </a:rPr>
                <a:t>𝜆</a:t>
              </a:r>
              <a:endParaRPr lang="ko-KR" altLang="en-US" sz="1800"/>
            </a:p>
          </xdr:txBody>
        </xdr:sp>
      </mc:Fallback>
    </mc:AlternateContent>
    <xdr:clientData/>
  </xdr:oneCellAnchor>
  <xdr:twoCellAnchor>
    <xdr:from>
      <xdr:col>11</xdr:col>
      <xdr:colOff>438978</xdr:colOff>
      <xdr:row>29</xdr:row>
      <xdr:rowOff>81585</xdr:rowOff>
    </xdr:from>
    <xdr:to>
      <xdr:col>13</xdr:col>
      <xdr:colOff>638175</xdr:colOff>
      <xdr:row>34</xdr:row>
      <xdr:rowOff>95250</xdr:rowOff>
    </xdr:to>
    <xdr:cxnSp macro="">
      <xdr:nvCxnSpPr>
        <xdr:cNvPr id="12" name="직선 화살표 연결선 11">
          <a:extLst>
            <a:ext uri="{FF2B5EF4-FFF2-40B4-BE49-F238E27FC236}">
              <a16:creationId xmlns:a16="http://schemas.microsoft.com/office/drawing/2014/main" id="{00000000-0008-0000-1900-00000C000000}"/>
            </a:ext>
          </a:extLst>
        </xdr:cNvPr>
        <xdr:cNvCxnSpPr>
          <a:stCxn id="4" idx="6"/>
        </xdr:cNvCxnSpPr>
      </xdr:nvCxnSpPr>
      <xdr:spPr>
        <a:xfrm>
          <a:off x="7982778" y="6253785"/>
          <a:ext cx="1570797" cy="10614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639003</xdr:colOff>
      <xdr:row>35</xdr:row>
      <xdr:rowOff>119685</xdr:rowOff>
    </xdr:from>
    <xdr:to>
      <xdr:col>16</xdr:col>
      <xdr:colOff>647700</xdr:colOff>
      <xdr:row>37</xdr:row>
      <xdr:rowOff>19050</xdr:rowOff>
    </xdr:to>
    <xdr:cxnSp macro="">
      <xdr:nvCxnSpPr>
        <xdr:cNvPr id="34" name="직선 화살표 연결선 33">
          <a:extLst>
            <a:ext uri="{FF2B5EF4-FFF2-40B4-BE49-F238E27FC236}">
              <a16:creationId xmlns:a16="http://schemas.microsoft.com/office/drawing/2014/main" id="{00000000-0008-0000-1900-000022000000}"/>
            </a:ext>
          </a:extLst>
        </xdr:cNvPr>
        <xdr:cNvCxnSpPr/>
      </xdr:nvCxnSpPr>
      <xdr:spPr>
        <a:xfrm>
          <a:off x="9554403" y="7549185"/>
          <a:ext cx="2066097" cy="31846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397565</xdr:colOff>
      <xdr:row>45</xdr:row>
      <xdr:rowOff>198783</xdr:rowOff>
    </xdr:from>
    <xdr:to>
      <xdr:col>18</xdr:col>
      <xdr:colOff>598479</xdr:colOff>
      <xdr:row>67</xdr:row>
      <xdr:rowOff>1858</xdr:rowOff>
    </xdr:to>
    <xdr:pic>
      <xdr:nvPicPr>
        <xdr:cNvPr id="14" name="그림 13">
          <a:extLst>
            <a:ext uri="{FF2B5EF4-FFF2-40B4-BE49-F238E27FC236}">
              <a16:creationId xmlns:a16="http://schemas.microsoft.com/office/drawing/2014/main" id="{00000000-0008-0000-1900-00000E000000}"/>
            </a:ext>
          </a:extLst>
        </xdr:cNvPr>
        <xdr:cNvPicPr>
          <a:picLocks noChangeAspect="1"/>
        </xdr:cNvPicPr>
      </xdr:nvPicPr>
      <xdr:blipFill>
        <a:blip xmlns:r="http://schemas.openxmlformats.org/officeDocument/2006/relationships" r:embed="rId1"/>
        <a:stretch>
          <a:fillRect/>
        </a:stretch>
      </xdr:blipFill>
      <xdr:spPr>
        <a:xfrm>
          <a:off x="6584674" y="9599544"/>
          <a:ext cx="6388022" cy="4358510"/>
        </a:xfrm>
        <a:prstGeom prst="rect">
          <a:avLst/>
        </a:prstGeom>
      </xdr:spPr>
    </xdr:pic>
    <xdr:clientData/>
  </xdr:twoCellAnchor>
  <xdr:twoCellAnchor>
    <xdr:from>
      <xdr:col>9</xdr:col>
      <xdr:colOff>200025</xdr:colOff>
      <xdr:row>26</xdr:row>
      <xdr:rowOff>9525</xdr:rowOff>
    </xdr:from>
    <xdr:to>
      <xdr:col>9</xdr:col>
      <xdr:colOff>523875</xdr:colOff>
      <xdr:row>27</xdr:row>
      <xdr:rowOff>85725</xdr:rowOff>
    </xdr:to>
    <xdr:sp macro="" textlink="">
      <xdr:nvSpPr>
        <xdr:cNvPr id="7" name="타원 6">
          <a:extLst>
            <a:ext uri="{FF2B5EF4-FFF2-40B4-BE49-F238E27FC236}">
              <a16:creationId xmlns:a16="http://schemas.microsoft.com/office/drawing/2014/main" id="{00000000-0008-0000-1900-000007000000}"/>
            </a:ext>
          </a:extLst>
        </xdr:cNvPr>
        <xdr:cNvSpPr/>
      </xdr:nvSpPr>
      <xdr:spPr>
        <a:xfrm>
          <a:off x="6372225" y="5553075"/>
          <a:ext cx="323850"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1100"/>
            <a:t>b</a:t>
          </a:r>
          <a:endParaRPr lang="ko-KR" alt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683172</xdr:colOff>
      <xdr:row>19</xdr:row>
      <xdr:rowOff>0</xdr:rowOff>
    </xdr:from>
    <xdr:to>
      <xdr:col>9</xdr:col>
      <xdr:colOff>249517</xdr:colOff>
      <xdr:row>24</xdr:row>
      <xdr:rowOff>120713</xdr:rowOff>
    </xdr:to>
    <xdr:pic>
      <xdr:nvPicPr>
        <xdr:cNvPr id="3" name="그림 2">
          <a:extLst>
            <a:ext uri="{FF2B5EF4-FFF2-40B4-BE49-F238E27FC236}">
              <a16:creationId xmlns:a16="http://schemas.microsoft.com/office/drawing/2014/main" id="{00000000-0008-0000-1A00-000003000000}"/>
            </a:ext>
          </a:extLst>
        </xdr:cNvPr>
        <xdr:cNvPicPr>
          <a:picLocks noChangeAspect="1"/>
        </xdr:cNvPicPr>
      </xdr:nvPicPr>
      <xdr:blipFill>
        <a:blip xmlns:r="http://schemas.openxmlformats.org/officeDocument/2006/relationships" r:embed="rId1"/>
        <a:stretch>
          <a:fillRect/>
        </a:stretch>
      </xdr:blipFill>
      <xdr:spPr>
        <a:xfrm>
          <a:off x="683172" y="3993931"/>
          <a:ext cx="5992061" cy="1238423"/>
        </a:xfrm>
        <a:prstGeom prst="rect">
          <a:avLst/>
        </a:prstGeom>
      </xdr:spPr>
    </xdr:pic>
    <xdr:clientData/>
  </xdr:twoCellAnchor>
  <xdr:twoCellAnchor>
    <xdr:from>
      <xdr:col>4</xdr:col>
      <xdr:colOff>16422</xdr:colOff>
      <xdr:row>27</xdr:row>
      <xdr:rowOff>14452</xdr:rowOff>
    </xdr:from>
    <xdr:to>
      <xdr:col>7</xdr:col>
      <xdr:colOff>131380</xdr:colOff>
      <xdr:row>40</xdr:row>
      <xdr:rowOff>24962</xdr:rowOff>
    </xdr:to>
    <xdr:graphicFrame macro="">
      <xdr:nvGraphicFramePr>
        <xdr:cNvPr id="4" name="차트 3">
          <a:extLst>
            <a:ext uri="{FF2B5EF4-FFF2-40B4-BE49-F238E27FC236}">
              <a16:creationId xmlns:a16="http://schemas.microsoft.com/office/drawing/2014/main" id="{00000000-0008-0000-1A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194641</xdr:colOff>
      <xdr:row>44</xdr:row>
      <xdr:rowOff>61290</xdr:rowOff>
    </xdr:from>
    <xdr:to>
      <xdr:col>13</xdr:col>
      <xdr:colOff>107673</xdr:colOff>
      <xdr:row>57</xdr:row>
      <xdr:rowOff>112643</xdr:rowOff>
    </xdr:to>
    <xdr:graphicFrame macro="">
      <xdr:nvGraphicFramePr>
        <xdr:cNvPr id="6" name="차트 5">
          <a:extLst>
            <a:ext uri="{FF2B5EF4-FFF2-40B4-BE49-F238E27FC236}">
              <a16:creationId xmlns:a16="http://schemas.microsoft.com/office/drawing/2014/main" id="{00000000-0008-0000-1A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581025</xdr:colOff>
      <xdr:row>2</xdr:row>
      <xdr:rowOff>38100</xdr:rowOff>
    </xdr:from>
    <xdr:to>
      <xdr:col>28</xdr:col>
      <xdr:colOff>99391</xdr:colOff>
      <xdr:row>16</xdr:row>
      <xdr:rowOff>180147</xdr:rowOff>
    </xdr:to>
    <xdr:pic>
      <xdr:nvPicPr>
        <xdr:cNvPr id="7" name="그림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925425" y="457200"/>
          <a:ext cx="6376366" cy="3209097"/>
        </a:xfrm>
        <a:prstGeom prst="rect">
          <a:avLst/>
        </a:prstGeom>
      </xdr:spPr>
    </xdr:pic>
    <xdr:clientData/>
  </xdr:twoCellAnchor>
  <xdr:twoCellAnchor editAs="oneCell">
    <xdr:from>
      <xdr:col>8</xdr:col>
      <xdr:colOff>684609</xdr:colOff>
      <xdr:row>86</xdr:row>
      <xdr:rowOff>0</xdr:rowOff>
    </xdr:from>
    <xdr:to>
      <xdr:col>13</xdr:col>
      <xdr:colOff>586251</xdr:colOff>
      <xdr:row>95</xdr:row>
      <xdr:rowOff>163400</xdr:rowOff>
    </xdr:to>
    <xdr:pic>
      <xdr:nvPicPr>
        <xdr:cNvPr id="5" name="그림 4">
          <a:extLst>
            <a:ext uri="{FF2B5EF4-FFF2-40B4-BE49-F238E27FC236}">
              <a16:creationId xmlns:a16="http://schemas.microsoft.com/office/drawing/2014/main" id="{00000000-0008-0000-1A00-000005000000}"/>
            </a:ext>
          </a:extLst>
        </xdr:cNvPr>
        <xdr:cNvPicPr>
          <a:picLocks noChangeAspect="1"/>
        </xdr:cNvPicPr>
      </xdr:nvPicPr>
      <xdr:blipFill>
        <a:blip xmlns:r="http://schemas.openxmlformats.org/officeDocument/2006/relationships" r:embed="rId5"/>
        <a:stretch>
          <a:fillRect/>
        </a:stretch>
      </xdr:blipFill>
      <xdr:spPr>
        <a:xfrm>
          <a:off x="6161484" y="17918906"/>
          <a:ext cx="3324689" cy="2038635"/>
        </a:xfrm>
        <a:prstGeom prst="rect">
          <a:avLst/>
        </a:prstGeom>
      </xdr:spPr>
    </xdr:pic>
    <xdr:clientData/>
  </xdr:twoCellAnchor>
  <xdr:twoCellAnchor editAs="oneCell">
    <xdr:from>
      <xdr:col>3</xdr:col>
      <xdr:colOff>0</xdr:colOff>
      <xdr:row>99</xdr:row>
      <xdr:rowOff>0</xdr:rowOff>
    </xdr:from>
    <xdr:to>
      <xdr:col>13</xdr:col>
      <xdr:colOff>70021</xdr:colOff>
      <xdr:row>113</xdr:row>
      <xdr:rowOff>102815</xdr:rowOff>
    </xdr:to>
    <xdr:pic>
      <xdr:nvPicPr>
        <xdr:cNvPr id="8" name="그림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6"/>
        <a:stretch>
          <a:fillRect/>
        </a:stretch>
      </xdr:blipFill>
      <xdr:spPr>
        <a:xfrm>
          <a:off x="2053828" y="20627578"/>
          <a:ext cx="6916115" cy="3019846"/>
        </a:xfrm>
        <a:prstGeom prst="rect">
          <a:avLst/>
        </a:prstGeom>
      </xdr:spPr>
    </xdr:pic>
    <xdr:clientData/>
  </xdr:twoCellAnchor>
  <xdr:oneCellAnchor>
    <xdr:from>
      <xdr:col>4</xdr:col>
      <xdr:colOff>71881</xdr:colOff>
      <xdr:row>118</xdr:row>
      <xdr:rowOff>23869</xdr:rowOff>
    </xdr:from>
    <xdr:ext cx="348237"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1A00-000009000000}"/>
                </a:ext>
              </a:extLst>
            </xdr:cNvPr>
            <xdr:cNvSpPr txBox="1"/>
          </xdr:nvSpPr>
          <xdr:spPr>
            <a:xfrm>
              <a:off x="2819092" y="24869080"/>
              <a:ext cx="348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𝜀</m:t>
                    </m:r>
                    <m:r>
                      <a:rPr lang="en-US" altLang="ko-KR" sz="1100" b="0" i="1">
                        <a:latin typeface="Cambria Math" panose="02040503050406030204" pitchFamily="18" charset="0"/>
                      </a:rPr>
                      <m:t>𝑧</m:t>
                    </m:r>
                    <m:r>
                      <a:rPr lang="en-US" altLang="ko-KR" sz="1100" b="0" i="1">
                        <a:latin typeface="Cambria Math" panose="02040503050406030204" pitchFamily="18" charset="0"/>
                      </a:rPr>
                      <m:t>, </m:t>
                    </m:r>
                    <m:r>
                      <a:rPr lang="en-US" altLang="ko-KR" sz="1100" b="0" i="1">
                        <a:latin typeface="Cambria Math" panose="02040503050406030204" pitchFamily="18" charset="0"/>
                      </a:rPr>
                      <m:t>𝑧</m:t>
                    </m:r>
                    <m:r>
                      <a:rPr lang="en-US" altLang="ko-KR" sz="1100" b="0" i="1">
                        <a:latin typeface="Cambria Math" panose="02040503050406030204" pitchFamily="18" charset="0"/>
                      </a:rPr>
                      <m:t>)</m:t>
                    </m:r>
                  </m:oMath>
                </m:oMathPara>
              </a14:m>
              <a:endParaRPr lang="ko-KR" altLang="en-US" sz="1100"/>
            </a:p>
          </xdr:txBody>
        </xdr:sp>
      </mc:Choice>
      <mc:Fallback xmlns="">
        <xdr:sp macro="" textlink="">
          <xdr:nvSpPr>
            <xdr:cNvPr id="9" name="TextBox 8"/>
            <xdr:cNvSpPr txBox="1"/>
          </xdr:nvSpPr>
          <xdr:spPr>
            <a:xfrm>
              <a:off x="2819092" y="24869080"/>
              <a:ext cx="348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𝜀</a:t>
              </a:r>
              <a:r>
                <a:rPr lang="en-US" altLang="ko-KR" sz="1100" b="0" i="0">
                  <a:latin typeface="Cambria Math" panose="02040503050406030204" pitchFamily="18" charset="0"/>
                </a:rPr>
                <a:t>𝑧, 𝑧)</a:t>
              </a:r>
              <a:endParaRPr lang="ko-KR" altLang="en-US" sz="1100"/>
            </a:p>
          </xdr:txBody>
        </xdr:sp>
      </mc:Fallback>
    </mc:AlternateContent>
    <xdr:clientData/>
  </xdr:oneCellAnchor>
  <xdr:oneCellAnchor>
    <xdr:from>
      <xdr:col>4</xdr:col>
      <xdr:colOff>56842</xdr:colOff>
      <xdr:row>121</xdr:row>
      <xdr:rowOff>28883</xdr:rowOff>
    </xdr:from>
    <xdr:ext cx="578300"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0000000-0008-0000-1A00-00000A000000}"/>
                </a:ext>
              </a:extLst>
            </xdr:cNvPr>
            <xdr:cNvSpPr txBox="1"/>
          </xdr:nvSpPr>
          <xdr:spPr>
            <a:xfrm>
              <a:off x="2804053" y="25505751"/>
              <a:ext cx="578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b="0" i="1">
                        <a:latin typeface="Cambria Math" panose="02040503050406030204" pitchFamily="18" charset="0"/>
                      </a:rPr>
                      <m:t>0.01 </m:t>
                    </m:r>
                    <m:r>
                      <a:rPr lang="en-US" altLang="ko-KR" sz="1100" b="0" i="1">
                        <a:latin typeface="Cambria Math" panose="02040503050406030204" pitchFamily="18" charset="0"/>
                      </a:rPr>
                      <m:t>𝑧</m:t>
                    </m:r>
                    <m:r>
                      <a:rPr lang="en-US" altLang="ko-KR" sz="1100" b="0" i="1">
                        <a:latin typeface="Cambria Math" panose="02040503050406030204" pitchFamily="18" charset="0"/>
                      </a:rPr>
                      <m:t>, </m:t>
                    </m:r>
                    <m:r>
                      <a:rPr lang="en-US" altLang="ko-KR" sz="1100" b="0" i="1">
                        <a:latin typeface="Cambria Math" panose="02040503050406030204" pitchFamily="18" charset="0"/>
                      </a:rPr>
                      <m:t>𝑧</m:t>
                    </m:r>
                    <m:r>
                      <a:rPr lang="en-US" altLang="ko-KR" sz="1100" b="0" i="1">
                        <a:latin typeface="Cambria Math" panose="02040503050406030204" pitchFamily="18" charset="0"/>
                      </a:rPr>
                      <m:t>)</m:t>
                    </m:r>
                  </m:oMath>
                </m:oMathPara>
              </a14:m>
              <a:endParaRPr lang="ko-KR" altLang="en-US" sz="1100"/>
            </a:p>
          </xdr:txBody>
        </xdr:sp>
      </mc:Choice>
      <mc:Fallback xmlns="">
        <xdr:sp macro="" textlink="">
          <xdr:nvSpPr>
            <xdr:cNvPr id="10" name="TextBox 9"/>
            <xdr:cNvSpPr txBox="1"/>
          </xdr:nvSpPr>
          <xdr:spPr>
            <a:xfrm>
              <a:off x="2804053" y="25505751"/>
              <a:ext cx="578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0.01 𝑧, 𝑧)</a:t>
              </a:r>
              <a:endParaRPr lang="ko-KR" altLang="en-US" sz="1100"/>
            </a:p>
          </xdr:txBody>
        </xdr:sp>
      </mc:Fallback>
    </mc:AlternateContent>
    <xdr:clientData/>
  </xdr:oneCellAnchor>
  <xdr:oneCellAnchor>
    <xdr:from>
      <xdr:col>4</xdr:col>
      <xdr:colOff>309812</xdr:colOff>
      <xdr:row>121</xdr:row>
      <xdr:rowOff>31583</xdr:rowOff>
    </xdr:from>
    <xdr:ext cx="71686"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1A00-00000B000000}"/>
                </a:ext>
              </a:extLst>
            </xdr:cNvPr>
            <xdr:cNvSpPr txBox="1"/>
          </xdr:nvSpPr>
          <xdr:spPr>
            <a:xfrm>
              <a:off x="3057023" y="25508451"/>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m:t>
                    </m:r>
                  </m:oMath>
                </m:oMathPara>
              </a14:m>
              <a:endParaRPr lang="ko-KR" altLang="en-US" sz="1100"/>
            </a:p>
          </xdr:txBody>
        </xdr:sp>
      </mc:Choice>
      <mc:Fallback xmlns="">
        <xdr:sp macro="" textlink="">
          <xdr:nvSpPr>
            <xdr:cNvPr id="11" name="TextBox 10"/>
            <xdr:cNvSpPr txBox="1"/>
          </xdr:nvSpPr>
          <xdr:spPr>
            <a:xfrm>
              <a:off x="3057023" y="25508451"/>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a:t>
              </a:r>
              <a:endParaRPr lang="ko-KR" altLang="en-US" sz="1100"/>
            </a:p>
          </xdr:txBody>
        </xdr:sp>
      </mc:Fallback>
    </mc:AlternateContent>
    <xdr:clientData/>
  </xdr:oneCellAnchor>
  <xdr:oneCellAnchor>
    <xdr:from>
      <xdr:col>2</xdr:col>
      <xdr:colOff>402341</xdr:colOff>
      <xdr:row>124</xdr:row>
      <xdr:rowOff>31583</xdr:rowOff>
    </xdr:from>
    <xdr:ext cx="71686"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00000000-0008-0000-1A00-00000C000000}"/>
                </a:ext>
              </a:extLst>
            </xdr:cNvPr>
            <xdr:cNvSpPr txBox="1"/>
          </xdr:nvSpPr>
          <xdr:spPr>
            <a:xfrm>
              <a:off x="1773941" y="26353240"/>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m:t>
                    </m:r>
                  </m:oMath>
                </m:oMathPara>
              </a14:m>
              <a:endParaRPr lang="ko-KR" altLang="en-US" sz="1100"/>
            </a:p>
          </xdr:txBody>
        </xdr:sp>
      </mc:Choice>
      <mc:Fallback xmlns="">
        <xdr:sp macro="" textlink="">
          <xdr:nvSpPr>
            <xdr:cNvPr id="12" name="TextBox 11"/>
            <xdr:cNvSpPr txBox="1"/>
          </xdr:nvSpPr>
          <xdr:spPr>
            <a:xfrm>
              <a:off x="1773941" y="26353240"/>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a:t>
              </a:r>
              <a:endParaRPr lang="ko-KR" altLang="en-US" sz="1100"/>
            </a:p>
          </xdr:txBody>
        </xdr:sp>
      </mc:Fallback>
    </mc:AlternateContent>
    <xdr:clientData/>
  </xdr:oneCellAnchor>
  <xdr:twoCellAnchor>
    <xdr:from>
      <xdr:col>4</xdr:col>
      <xdr:colOff>513522</xdr:colOff>
      <xdr:row>125</xdr:row>
      <xdr:rowOff>8283</xdr:rowOff>
    </xdr:from>
    <xdr:to>
      <xdr:col>12</xdr:col>
      <xdr:colOff>82827</xdr:colOff>
      <xdr:row>146</xdr:row>
      <xdr:rowOff>74543</xdr:rowOff>
    </xdr:to>
    <xdr:graphicFrame macro="">
      <xdr:nvGraphicFramePr>
        <xdr:cNvPr id="13" name="차트 12">
          <a:extLst>
            <a:ext uri="{FF2B5EF4-FFF2-40B4-BE49-F238E27FC236}">
              <a16:creationId xmlns:a16="http://schemas.microsoft.com/office/drawing/2014/main" id="{00000000-0008-0000-1A00-00000D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oneCellAnchor>
    <xdr:from>
      <xdr:col>1</xdr:col>
      <xdr:colOff>402771</xdr:colOff>
      <xdr:row>150</xdr:row>
      <xdr:rowOff>111578</xdr:rowOff>
    </xdr:from>
    <xdr:ext cx="691664" cy="37760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0000000-0008-0000-1A00-00000F000000}"/>
                </a:ext>
              </a:extLst>
            </xdr:cNvPr>
            <xdr:cNvSpPr txBox="1"/>
          </xdr:nvSpPr>
          <xdr:spPr>
            <a:xfrm>
              <a:off x="1090430" y="31669529"/>
              <a:ext cx="691664" cy="3776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𝑧</m:t>
                              </m:r>
                            </m:e>
                          </m:mr>
                          <m:mr>
                            <m:e>
                              <m:r>
                                <a:rPr lang="en-US" altLang="ko-KR" sz="1100" b="0" i="1">
                                  <a:latin typeface="Cambria Math" panose="02040503050406030204" pitchFamily="18" charset="0"/>
                                </a:rPr>
                                <m:t>𝑎</m:t>
                              </m:r>
                              <m:r>
                                <a:rPr lang="en-US" altLang="ko-KR" sz="1100" b="0" i="1">
                                  <a:latin typeface="Cambria Math" panose="02040503050406030204" pitchFamily="18" charset="0"/>
                                </a:rPr>
                                <m:t>(</m:t>
                              </m:r>
                              <m:sSup>
                                <m:sSupPr>
                                  <m:ctrlPr>
                                    <a:rPr lang="en-US" altLang="ko-KR" sz="1100" b="0" i="1">
                                      <a:latin typeface="Cambria Math" panose="02040503050406030204" pitchFamily="18" charset="0"/>
                                    </a:rPr>
                                  </m:ctrlPr>
                                </m:sSupPr>
                                <m:e>
                                  <m:r>
                                    <a:rPr lang="en-US" altLang="ko-KR" sz="1100" b="0" i="1">
                                      <a:latin typeface="Cambria Math" panose="02040503050406030204" pitchFamily="18" charset="0"/>
                                    </a:rPr>
                                    <m:t>𝑒</m:t>
                                  </m:r>
                                </m:e>
                                <m:sup>
                                  <m:r>
                                    <a:rPr lang="en-US" altLang="ko-KR" sz="1100" b="0" i="1">
                                      <a:latin typeface="Cambria Math" panose="02040503050406030204" pitchFamily="18" charset="0"/>
                                    </a:rPr>
                                    <m:t>𝑧</m:t>
                                  </m:r>
                                </m:sup>
                              </m:sSup>
                              <m:r>
                                <a:rPr lang="en-US" altLang="ko-KR" sz="1100" b="0" i="1">
                                  <a:latin typeface="Cambria Math" panose="02040503050406030204" pitchFamily="18" charset="0"/>
                                </a:rPr>
                                <m:t>−1)</m:t>
                              </m:r>
                            </m:e>
                          </m:mr>
                        </m:m>
                      </m:e>
                    </m:d>
                  </m:oMath>
                </m:oMathPara>
              </a14:m>
              <a:endParaRPr lang="ko-KR" altLang="en-US" sz="1100"/>
            </a:p>
          </xdr:txBody>
        </xdr:sp>
      </mc:Choice>
      <mc:Fallback xmlns="">
        <xdr:sp macro="" textlink="">
          <xdr:nvSpPr>
            <xdr:cNvPr id="15" name="TextBox 14"/>
            <xdr:cNvSpPr txBox="1"/>
          </xdr:nvSpPr>
          <xdr:spPr>
            <a:xfrm>
              <a:off x="1090430" y="31669529"/>
              <a:ext cx="691664" cy="3776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i="0">
                  <a:latin typeface="Cambria Math" panose="02040503050406030204" pitchFamily="18" charset="0"/>
                </a:rPr>
                <a:t>{■8(</a:t>
              </a:r>
              <a:r>
                <a:rPr lang="en-US" altLang="ko-KR" sz="1100" b="0" i="0">
                  <a:latin typeface="Cambria Math" panose="02040503050406030204" pitchFamily="18" charset="0"/>
                </a:rPr>
                <a:t>𝑧@𝑎(𝑒^𝑧−1))┤</a:t>
              </a:r>
              <a:endParaRPr lang="ko-KR" altLang="en-US" sz="1100"/>
            </a:p>
          </xdr:txBody>
        </xdr:sp>
      </mc:Fallback>
    </mc:AlternateContent>
    <xdr:clientData/>
  </xdr:oneCellAnchor>
  <xdr:oneCellAnchor>
    <xdr:from>
      <xdr:col>8</xdr:col>
      <xdr:colOff>502628</xdr:colOff>
      <xdr:row>32</xdr:row>
      <xdr:rowOff>103309</xdr:rowOff>
    </xdr:from>
    <xdr:ext cx="1079988" cy="248851"/>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00000000-0008-0000-1A00-000010000000}"/>
                </a:ext>
              </a:extLst>
            </xdr:cNvPr>
            <xdr:cNvSpPr txBox="1"/>
          </xdr:nvSpPr>
          <xdr:spPr>
            <a:xfrm>
              <a:off x="6012474" y="7100521"/>
              <a:ext cx="1079988"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 xmlns:m="http://schemas.openxmlformats.org/officeDocument/2006/math">
                  <m:f>
                    <m:fPr>
                      <m:ctrlPr>
                        <a:rPr lang="en-US" altLang="ko-KR" sz="1100" i="1">
                          <a:latin typeface="Cambria Math" panose="02040503050406030204" pitchFamily="18" charset="0"/>
                        </a:rPr>
                      </m:ctrlPr>
                    </m:fPr>
                    <m:num>
                      <m:r>
                        <a:rPr lang="en-US" altLang="ko-KR" sz="1100" i="1">
                          <a:latin typeface="Cambria Math" panose="02040503050406030204" pitchFamily="18" charset="0"/>
                        </a:rPr>
                        <m:t>𝜕</m:t>
                      </m:r>
                      <m:r>
                        <a:rPr lang="en-US" altLang="ko-KR" sz="1100" b="0" i="1">
                          <a:latin typeface="Cambria Math" panose="02040503050406030204" pitchFamily="18" charset="0"/>
                        </a:rPr>
                        <m:t>𝑓</m:t>
                      </m:r>
                    </m:num>
                    <m:den>
                      <m:r>
                        <a:rPr lang="en-US" altLang="ko-KR" sz="1100" i="1">
                          <a:latin typeface="Cambria Math" panose="02040503050406030204" pitchFamily="18" charset="0"/>
                        </a:rPr>
                        <m:t>𝜕</m:t>
                      </m:r>
                      <m:r>
                        <a:rPr lang="en-US" altLang="ko-KR" sz="1100" b="0" i="1">
                          <a:latin typeface="Cambria Math" panose="02040503050406030204" pitchFamily="18" charset="0"/>
                        </a:rPr>
                        <m:t>𝑧</m:t>
                      </m:r>
                    </m:den>
                  </m:f>
                  <m:r>
                    <a:rPr lang="en-US" altLang="ko-KR" sz="1100" b="0" i="1">
                      <a:latin typeface="Cambria Math" panose="02040503050406030204" pitchFamily="18" charset="0"/>
                    </a:rPr>
                    <m:t>= </m:t>
                  </m:r>
                </m:oMath>
              </a14:m>
              <a:r>
                <a:rPr lang="ko-KR" altLang="en-US" sz="1100"/>
                <a:t> </a:t>
              </a:r>
              <a:r>
                <a:rPr lang="en-US" altLang="ko-KR" sz="1100"/>
                <a:t>0</a:t>
              </a:r>
              <a:endParaRPr lang="ko-KR" altLang="en-US" sz="1100"/>
            </a:p>
          </xdr:txBody>
        </xdr:sp>
      </mc:Choice>
      <mc:Fallback xmlns="">
        <xdr:sp macro="" textlink="">
          <xdr:nvSpPr>
            <xdr:cNvPr id="16" name="TextBox 15"/>
            <xdr:cNvSpPr txBox="1"/>
          </xdr:nvSpPr>
          <xdr:spPr>
            <a:xfrm>
              <a:off x="6012474" y="7100521"/>
              <a:ext cx="1079988"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n-US" altLang="ko-KR" sz="1100" i="0">
                  <a:latin typeface="Cambria Math" panose="02040503050406030204" pitchFamily="18" charset="0"/>
                </a:rPr>
                <a:t>𝜕</a:t>
              </a:r>
              <a:r>
                <a:rPr lang="en-US" altLang="ko-KR" sz="1100" b="0" i="0">
                  <a:latin typeface="Cambria Math" panose="02040503050406030204" pitchFamily="18" charset="0"/>
                </a:rPr>
                <a:t>𝑓/</a:t>
              </a:r>
              <a:r>
                <a:rPr lang="en-US" altLang="ko-KR" sz="1100" i="0">
                  <a:latin typeface="Cambria Math" panose="02040503050406030204" pitchFamily="18" charset="0"/>
                </a:rPr>
                <a:t>𝜕</a:t>
              </a:r>
              <a:r>
                <a:rPr lang="en-US" altLang="ko-KR" sz="1100" b="0" i="0">
                  <a:latin typeface="Cambria Math" panose="02040503050406030204" pitchFamily="18" charset="0"/>
                </a:rPr>
                <a:t>𝑧= </a:t>
              </a:r>
              <a:r>
                <a:rPr lang="ko-KR" altLang="en-US" sz="1100"/>
                <a:t> </a:t>
              </a:r>
              <a:r>
                <a:rPr lang="en-US" altLang="ko-KR" sz="1100"/>
                <a:t>0</a:t>
              </a:r>
              <a:endParaRPr lang="ko-KR" altLang="en-US" sz="1100"/>
            </a:p>
          </xdr:txBody>
        </xdr:sp>
      </mc:Fallback>
    </mc:AlternateContent>
    <xdr:clientData/>
  </xdr:oneCellAnchor>
  <xdr:twoCellAnchor>
    <xdr:from>
      <xdr:col>6</xdr:col>
      <xdr:colOff>476250</xdr:colOff>
      <xdr:row>30</xdr:row>
      <xdr:rowOff>14654</xdr:rowOff>
    </xdr:from>
    <xdr:to>
      <xdr:col>8</xdr:col>
      <xdr:colOff>502628</xdr:colOff>
      <xdr:row>33</xdr:row>
      <xdr:rowOff>15255</xdr:rowOff>
    </xdr:to>
    <xdr:cxnSp macro="">
      <xdr:nvCxnSpPr>
        <xdr:cNvPr id="18" name="직선 화살표 연결선 17">
          <a:extLst>
            <a:ext uri="{FF2B5EF4-FFF2-40B4-BE49-F238E27FC236}">
              <a16:creationId xmlns:a16="http://schemas.microsoft.com/office/drawing/2014/main" id="{00000000-0008-0000-1A00-000012000000}"/>
            </a:ext>
          </a:extLst>
        </xdr:cNvPr>
        <xdr:cNvCxnSpPr>
          <a:stCxn id="16" idx="1"/>
        </xdr:cNvCxnSpPr>
      </xdr:nvCxnSpPr>
      <xdr:spPr>
        <a:xfrm flipH="1" flipV="1">
          <a:off x="4608635" y="6586904"/>
          <a:ext cx="1403839" cy="6380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637442</xdr:colOff>
      <xdr:row>33</xdr:row>
      <xdr:rowOff>15255</xdr:rowOff>
    </xdr:from>
    <xdr:to>
      <xdr:col>8</xdr:col>
      <xdr:colOff>502628</xdr:colOff>
      <xdr:row>37</xdr:row>
      <xdr:rowOff>139212</xdr:rowOff>
    </xdr:to>
    <xdr:cxnSp macro="">
      <xdr:nvCxnSpPr>
        <xdr:cNvPr id="20" name="직선 화살표 연결선 19">
          <a:extLst>
            <a:ext uri="{FF2B5EF4-FFF2-40B4-BE49-F238E27FC236}">
              <a16:creationId xmlns:a16="http://schemas.microsoft.com/office/drawing/2014/main" id="{00000000-0008-0000-1A00-000014000000}"/>
            </a:ext>
          </a:extLst>
        </xdr:cNvPr>
        <xdr:cNvCxnSpPr>
          <a:stCxn id="16" idx="1"/>
        </xdr:cNvCxnSpPr>
      </xdr:nvCxnSpPr>
      <xdr:spPr>
        <a:xfrm flipH="1">
          <a:off x="3392365" y="7224947"/>
          <a:ext cx="2620109" cy="9738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267630</xdr:colOff>
      <xdr:row>150</xdr:row>
      <xdr:rowOff>28342</xdr:rowOff>
    </xdr:from>
    <xdr:ext cx="137538"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00000000-0008-0000-1A00-000016000000}"/>
                </a:ext>
              </a:extLst>
            </xdr:cNvPr>
            <xdr:cNvSpPr txBox="1"/>
          </xdr:nvSpPr>
          <xdr:spPr>
            <a:xfrm>
              <a:off x="1642947" y="31586293"/>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m:t>
                    </m:r>
                  </m:oMath>
                </m:oMathPara>
              </a14:m>
              <a:endParaRPr lang="ko-KR" altLang="en-US" sz="1100"/>
            </a:p>
          </xdr:txBody>
        </xdr:sp>
      </mc:Choice>
      <mc:Fallback xmlns="">
        <xdr:sp macro="" textlink="">
          <xdr:nvSpPr>
            <xdr:cNvPr id="22" name="TextBox 21"/>
            <xdr:cNvSpPr txBox="1"/>
          </xdr:nvSpPr>
          <xdr:spPr>
            <a:xfrm>
              <a:off x="1642947" y="31586293"/>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a:t>
              </a:r>
              <a:endParaRPr lang="ko-KR" altLang="en-US" sz="1100"/>
            </a:p>
          </xdr:txBody>
        </xdr:sp>
      </mc:Fallback>
    </mc:AlternateContent>
    <xdr:clientData/>
  </xdr:oneCellAnchor>
  <xdr:oneCellAnchor>
    <xdr:from>
      <xdr:col>2</xdr:col>
      <xdr:colOff>272276</xdr:colOff>
      <xdr:row>151</xdr:row>
      <xdr:rowOff>32989</xdr:rowOff>
    </xdr:from>
    <xdr:ext cx="137538"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00000000-0008-0000-1A00-000018000000}"/>
                </a:ext>
              </a:extLst>
            </xdr:cNvPr>
            <xdr:cNvSpPr txBox="1"/>
          </xdr:nvSpPr>
          <xdr:spPr>
            <a:xfrm>
              <a:off x="1647593" y="31800026"/>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i="1">
                        <a:latin typeface="Cambria Math" panose="02040503050406030204" pitchFamily="18" charset="0"/>
                        <a:ea typeface="Cambria Math" panose="02040503050406030204" pitchFamily="18" charset="0"/>
                      </a:rPr>
                      <m:t>&lt;</m:t>
                    </m:r>
                  </m:oMath>
                </m:oMathPara>
              </a14:m>
              <a:endParaRPr lang="ko-KR" altLang="en-US" sz="1100"/>
            </a:p>
          </xdr:txBody>
        </xdr:sp>
      </mc:Choice>
      <mc:Fallback xmlns="">
        <xdr:sp macro="" textlink="">
          <xdr:nvSpPr>
            <xdr:cNvPr id="24" name="TextBox 23"/>
            <xdr:cNvSpPr txBox="1"/>
          </xdr:nvSpPr>
          <xdr:spPr>
            <a:xfrm>
              <a:off x="1647593" y="31800026"/>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i="0">
                  <a:latin typeface="Cambria Math" panose="02040503050406030204" pitchFamily="18" charset="0"/>
                  <a:ea typeface="Cambria Math" panose="02040503050406030204" pitchFamily="18" charset="0"/>
                </a:rPr>
                <a:t>&lt;</a:t>
              </a:r>
              <a:endParaRPr lang="ko-KR" altLang="en-US" sz="1100"/>
            </a:p>
          </xdr:txBody>
        </xdr:sp>
      </mc:Fallback>
    </mc:AlternateContent>
    <xdr:clientData/>
  </xdr:oneCellAnchor>
  <xdr:twoCellAnchor editAs="oneCell">
    <xdr:from>
      <xdr:col>5</xdr:col>
      <xdr:colOff>0</xdr:colOff>
      <xdr:row>153</xdr:row>
      <xdr:rowOff>0</xdr:rowOff>
    </xdr:from>
    <xdr:to>
      <xdr:col>11</xdr:col>
      <xdr:colOff>247846</xdr:colOff>
      <xdr:row>168</xdr:row>
      <xdr:rowOff>171079</xdr:rowOff>
    </xdr:to>
    <xdr:pic>
      <xdr:nvPicPr>
        <xdr:cNvPr id="25" name="그림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8"/>
        <a:stretch>
          <a:fillRect/>
        </a:stretch>
      </xdr:blipFill>
      <xdr:spPr>
        <a:xfrm>
          <a:off x="3743739" y="31863196"/>
          <a:ext cx="4372585" cy="3277057"/>
        </a:xfrm>
        <a:prstGeom prst="rect">
          <a:avLst/>
        </a:prstGeom>
      </xdr:spPr>
    </xdr:pic>
    <xdr:clientData/>
  </xdr:twoCellAnchor>
  <xdr:oneCellAnchor>
    <xdr:from>
      <xdr:col>2</xdr:col>
      <xdr:colOff>495301</xdr:colOff>
      <xdr:row>173</xdr:row>
      <xdr:rowOff>156998</xdr:rowOff>
    </xdr:from>
    <xdr:ext cx="130357" cy="313099"/>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1A00-00001A000000}"/>
                </a:ext>
              </a:extLst>
            </xdr:cNvPr>
            <xdr:cNvSpPr txBox="1"/>
          </xdr:nvSpPr>
          <xdr:spPr>
            <a:xfrm>
              <a:off x="2150680" y="36700153"/>
              <a:ext cx="130357"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2000" i="1">
                        <a:latin typeface="Cambria Math" panose="02040503050406030204" pitchFamily="18" charset="0"/>
                      </a:rPr>
                      <m:t>∙</m:t>
                    </m:r>
                  </m:oMath>
                </m:oMathPara>
              </a14:m>
              <a:endParaRPr lang="ko-KR" altLang="en-US" sz="2000"/>
            </a:p>
          </xdr:txBody>
        </xdr:sp>
      </mc:Choice>
      <mc:Fallback xmlns="">
        <xdr:sp macro="" textlink="">
          <xdr:nvSpPr>
            <xdr:cNvPr id="26" name="TextBox 25"/>
            <xdr:cNvSpPr txBox="1"/>
          </xdr:nvSpPr>
          <xdr:spPr>
            <a:xfrm>
              <a:off x="2150680" y="36700153"/>
              <a:ext cx="130357"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000" i="0">
                  <a:latin typeface="Cambria Math" panose="02040503050406030204" pitchFamily="18" charset="0"/>
                </a:rPr>
                <a:t>∙</a:t>
              </a:r>
              <a:endParaRPr lang="ko-KR" altLang="en-US" sz="2000"/>
            </a:p>
          </xdr:txBody>
        </xdr:sp>
      </mc:Fallback>
    </mc:AlternateContent>
    <xdr:clientData/>
  </xdr:oneCellAnchor>
  <xdr:oneCellAnchor>
    <xdr:from>
      <xdr:col>2</xdr:col>
      <xdr:colOff>672662</xdr:colOff>
      <xdr:row>174</xdr:row>
      <xdr:rowOff>38757</xdr:rowOff>
    </xdr:from>
    <xdr:ext cx="33028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00000000-0008-0000-1A00-00001B000000}"/>
                </a:ext>
              </a:extLst>
            </xdr:cNvPr>
            <xdr:cNvSpPr txBox="1"/>
          </xdr:nvSpPr>
          <xdr:spPr>
            <a:xfrm>
              <a:off x="2328041" y="36792119"/>
              <a:ext cx="3302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el-GR" altLang="ko-KR" sz="1100" i="1">
                        <a:latin typeface="Cambria Math" panose="02040503050406030204" pitchFamily="18" charset="0"/>
                        <a:ea typeface="Cambria Math" panose="02040503050406030204" pitchFamily="18" charset="0"/>
                      </a:rPr>
                      <m:t>Φ</m:t>
                    </m:r>
                    <m:r>
                      <a:rPr lang="en-US" altLang="ko-KR" sz="1100" b="0" i="1">
                        <a:latin typeface="Cambria Math" panose="02040503050406030204" pitchFamily="18" charset="0"/>
                        <a:ea typeface="Cambria Math" panose="02040503050406030204" pitchFamily="18" charset="0"/>
                      </a:rPr>
                      <m:t>(</m:t>
                    </m:r>
                    <m:r>
                      <a:rPr lang="en-US" altLang="ko-KR" sz="1100" b="0" i="1">
                        <a:latin typeface="Cambria Math" panose="02040503050406030204" pitchFamily="18" charset="0"/>
                        <a:ea typeface="Cambria Math" panose="02040503050406030204" pitchFamily="18" charset="0"/>
                      </a:rPr>
                      <m:t>𝑧</m:t>
                    </m:r>
                    <m:r>
                      <a:rPr lang="en-US" altLang="ko-KR" sz="1100" b="0" i="1">
                        <a:latin typeface="Cambria Math" panose="02040503050406030204" pitchFamily="18" charset="0"/>
                        <a:ea typeface="Cambria Math" panose="02040503050406030204" pitchFamily="18" charset="0"/>
                      </a:rPr>
                      <m:t>)</m:t>
                    </m:r>
                  </m:oMath>
                </m:oMathPara>
              </a14:m>
              <a:endParaRPr lang="ko-KR" altLang="en-US" sz="1100"/>
            </a:p>
          </xdr:txBody>
        </xdr:sp>
      </mc:Choice>
      <mc:Fallback xmlns="">
        <xdr:sp macro="" textlink="">
          <xdr:nvSpPr>
            <xdr:cNvPr id="27" name="TextBox 26"/>
            <xdr:cNvSpPr txBox="1"/>
          </xdr:nvSpPr>
          <xdr:spPr>
            <a:xfrm>
              <a:off x="2328041" y="36792119"/>
              <a:ext cx="3302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l-GR" altLang="ko-KR" sz="1100" i="0">
                  <a:latin typeface="Cambria Math" panose="02040503050406030204" pitchFamily="18" charset="0"/>
                  <a:ea typeface="Cambria Math" panose="02040503050406030204" pitchFamily="18" charset="0"/>
                </a:rPr>
                <a:t>Φ</a:t>
              </a:r>
              <a:r>
                <a:rPr lang="en-US" altLang="ko-KR" sz="1100" b="0" i="0">
                  <a:latin typeface="Cambria Math" panose="02040503050406030204" pitchFamily="18" charset="0"/>
                  <a:ea typeface="Cambria Math" panose="02040503050406030204" pitchFamily="18" charset="0"/>
                </a:rPr>
                <a:t>(𝑧)</a:t>
              </a:r>
              <a:endParaRPr lang="ko-KR" altLang="en-US" sz="1100"/>
            </a:p>
          </xdr:txBody>
        </xdr:sp>
      </mc:Fallback>
    </mc:AlternateContent>
    <xdr:clientData/>
  </xdr:oneCellAnchor>
  <xdr:twoCellAnchor editAs="oneCell">
    <xdr:from>
      <xdr:col>5</xdr:col>
      <xdr:colOff>123946</xdr:colOff>
      <xdr:row>176</xdr:row>
      <xdr:rowOff>91964</xdr:rowOff>
    </xdr:from>
    <xdr:to>
      <xdr:col>9</xdr:col>
      <xdr:colOff>469782</xdr:colOff>
      <xdr:row>186</xdr:row>
      <xdr:rowOff>45833</xdr:rowOff>
    </xdr:to>
    <xdr:pic>
      <xdr:nvPicPr>
        <xdr:cNvPr id="28" name="그림 27">
          <a:extLst>
            <a:ext uri="{FF2B5EF4-FFF2-40B4-BE49-F238E27FC236}">
              <a16:creationId xmlns:a16="http://schemas.microsoft.com/office/drawing/2014/main" id="{00000000-0008-0000-1A00-00001C000000}"/>
            </a:ext>
          </a:extLst>
        </xdr:cNvPr>
        <xdr:cNvPicPr>
          <a:picLocks noChangeAspect="1"/>
        </xdr:cNvPicPr>
      </xdr:nvPicPr>
      <xdr:blipFill>
        <a:blip xmlns:r="http://schemas.openxmlformats.org/officeDocument/2006/relationships" r:embed="rId9"/>
        <a:stretch>
          <a:fillRect/>
        </a:stretch>
      </xdr:blipFill>
      <xdr:spPr>
        <a:xfrm>
          <a:off x="3828843" y="37265740"/>
          <a:ext cx="3078525" cy="2055938"/>
        </a:xfrm>
        <a:prstGeom prst="rect">
          <a:avLst/>
        </a:prstGeom>
      </xdr:spPr>
    </xdr:pic>
    <xdr:clientData/>
  </xdr:twoCellAnchor>
  <xdr:twoCellAnchor>
    <xdr:from>
      <xdr:col>2</xdr:col>
      <xdr:colOff>323850</xdr:colOff>
      <xdr:row>3</xdr:row>
      <xdr:rowOff>61912</xdr:rowOff>
    </xdr:from>
    <xdr:to>
      <xdr:col>9</xdr:col>
      <xdr:colOff>95250</xdr:colOff>
      <xdr:row>15</xdr:row>
      <xdr:rowOff>157162</xdr:rowOff>
    </xdr:to>
    <xdr:graphicFrame macro="">
      <xdr:nvGraphicFramePr>
        <xdr:cNvPr id="29" name="차트 28">
          <a:extLst>
            <a:ext uri="{FF2B5EF4-FFF2-40B4-BE49-F238E27FC236}">
              <a16:creationId xmlns:a16="http://schemas.microsoft.com/office/drawing/2014/main" id="{00000000-0008-0000-1A00-00001D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446940</xdr:colOff>
      <xdr:row>24</xdr:row>
      <xdr:rowOff>40739</xdr:rowOff>
    </xdr:from>
    <xdr:to>
      <xdr:col>12</xdr:col>
      <xdr:colOff>256657</xdr:colOff>
      <xdr:row>43</xdr:row>
      <xdr:rowOff>145230</xdr:rowOff>
    </xdr:to>
    <xdr:pic>
      <xdr:nvPicPr>
        <xdr:cNvPr id="2" name="그림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1135671" y="5140277"/>
          <a:ext cx="7385755" cy="4141626"/>
        </a:xfrm>
        <a:prstGeom prst="rect">
          <a:avLst/>
        </a:prstGeom>
      </xdr:spPr>
    </xdr:pic>
    <xdr:clientData/>
  </xdr:twoCellAnchor>
  <xdr:twoCellAnchor editAs="oneCell">
    <xdr:from>
      <xdr:col>1</xdr:col>
      <xdr:colOff>180975</xdr:colOff>
      <xdr:row>0</xdr:row>
      <xdr:rowOff>189789</xdr:rowOff>
    </xdr:from>
    <xdr:to>
      <xdr:col>14</xdr:col>
      <xdr:colOff>361950</xdr:colOff>
      <xdr:row>23</xdr:row>
      <xdr:rowOff>166919</xdr:rowOff>
    </xdr:to>
    <xdr:pic>
      <xdr:nvPicPr>
        <xdr:cNvPr id="3" name="그림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2"/>
        <a:stretch>
          <a:fillRect/>
        </a:stretch>
      </xdr:blipFill>
      <xdr:spPr>
        <a:xfrm>
          <a:off x="866775" y="189789"/>
          <a:ext cx="9096375" cy="4796780"/>
        </a:xfrm>
        <a:prstGeom prst="rect">
          <a:avLst/>
        </a:prstGeom>
      </xdr:spPr>
    </xdr:pic>
    <xdr:clientData/>
  </xdr:twoCellAnchor>
  <xdr:oneCellAnchor>
    <xdr:from>
      <xdr:col>4</xdr:col>
      <xdr:colOff>0</xdr:colOff>
      <xdr:row>122</xdr:row>
      <xdr:rowOff>0</xdr:rowOff>
    </xdr:from>
    <xdr:ext cx="7911296" cy="10067280"/>
    <xdr:pic>
      <xdr:nvPicPr>
        <xdr:cNvPr id="4" name="그림 3">
          <a:extLst>
            <a:ext uri="{FF2B5EF4-FFF2-40B4-BE49-F238E27FC236}">
              <a16:creationId xmlns:a16="http://schemas.microsoft.com/office/drawing/2014/main" id="{00000000-0008-0000-1B00-000004000000}"/>
            </a:ext>
          </a:extLst>
        </xdr:cNvPr>
        <xdr:cNvPicPr>
          <a:picLocks noChangeAspect="1"/>
        </xdr:cNvPicPr>
      </xdr:nvPicPr>
      <xdr:blipFill>
        <a:blip xmlns:r="http://schemas.openxmlformats.org/officeDocument/2006/relationships" r:embed="rId3"/>
        <a:stretch>
          <a:fillRect/>
        </a:stretch>
      </xdr:blipFill>
      <xdr:spPr>
        <a:xfrm>
          <a:off x="5514975" y="32432625"/>
          <a:ext cx="7911296" cy="10067280"/>
        </a:xfrm>
        <a:prstGeom prst="rect">
          <a:avLst/>
        </a:prstGeom>
      </xdr:spPr>
    </xdr:pic>
    <xdr:clientData/>
  </xdr:oneCellAnchor>
  <xdr:twoCellAnchor editAs="oneCell">
    <xdr:from>
      <xdr:col>1</xdr:col>
      <xdr:colOff>83344</xdr:colOff>
      <xdr:row>51</xdr:row>
      <xdr:rowOff>178749</xdr:rowOff>
    </xdr:from>
    <xdr:to>
      <xdr:col>6</xdr:col>
      <xdr:colOff>376575</xdr:colOff>
      <xdr:row>62</xdr:row>
      <xdr:rowOff>84248</xdr:rowOff>
    </xdr:to>
    <xdr:pic>
      <xdr:nvPicPr>
        <xdr:cNvPr id="5" name="그림 4">
          <a:extLst>
            <a:ext uri="{FF2B5EF4-FFF2-40B4-BE49-F238E27FC236}">
              <a16:creationId xmlns:a16="http://schemas.microsoft.com/office/drawing/2014/main" id="{00000000-0008-0000-1B00-000005000000}"/>
            </a:ext>
          </a:extLst>
        </xdr:cNvPr>
        <xdr:cNvPicPr>
          <a:picLocks noChangeAspect="1"/>
        </xdr:cNvPicPr>
      </xdr:nvPicPr>
      <xdr:blipFill>
        <a:blip xmlns:r="http://schemas.openxmlformats.org/officeDocument/2006/relationships" r:embed="rId4"/>
        <a:stretch>
          <a:fillRect/>
        </a:stretch>
      </xdr:blipFill>
      <xdr:spPr>
        <a:xfrm>
          <a:off x="767953" y="10805077"/>
          <a:ext cx="3716278" cy="2197452"/>
        </a:xfrm>
        <a:prstGeom prst="rect">
          <a:avLst/>
        </a:prstGeom>
      </xdr:spPr>
    </xdr:pic>
    <xdr:clientData/>
  </xdr:twoCellAnchor>
  <xdr:twoCellAnchor editAs="oneCell">
    <xdr:from>
      <xdr:col>6</xdr:col>
      <xdr:colOff>482203</xdr:colOff>
      <xdr:row>51</xdr:row>
      <xdr:rowOff>94160</xdr:rowOff>
    </xdr:from>
    <xdr:to>
      <xdr:col>12</xdr:col>
      <xdr:colOff>350350</xdr:colOff>
      <xdr:row>62</xdr:row>
      <xdr:rowOff>196163</xdr:rowOff>
    </xdr:to>
    <xdr:pic>
      <xdr:nvPicPr>
        <xdr:cNvPr id="6" name="그림 5">
          <a:extLst>
            <a:ext uri="{FF2B5EF4-FFF2-40B4-BE49-F238E27FC236}">
              <a16:creationId xmlns:a16="http://schemas.microsoft.com/office/drawing/2014/main" id="{00000000-0008-0000-1B00-000006000000}"/>
            </a:ext>
          </a:extLst>
        </xdr:cNvPr>
        <xdr:cNvPicPr>
          <a:picLocks noChangeAspect="1"/>
        </xdr:cNvPicPr>
      </xdr:nvPicPr>
      <xdr:blipFill>
        <a:blip xmlns:r="http://schemas.openxmlformats.org/officeDocument/2006/relationships" r:embed="rId5"/>
        <a:stretch>
          <a:fillRect/>
        </a:stretch>
      </xdr:blipFill>
      <xdr:spPr>
        <a:xfrm>
          <a:off x="4589859" y="10720488"/>
          <a:ext cx="3975804" cy="2393956"/>
        </a:xfrm>
        <a:prstGeom prst="rect">
          <a:avLst/>
        </a:prstGeom>
      </xdr:spPr>
    </xdr:pic>
    <xdr:clientData/>
  </xdr:twoCellAnchor>
  <xdr:twoCellAnchor editAs="oneCell">
    <xdr:from>
      <xdr:col>0</xdr:col>
      <xdr:colOff>498231</xdr:colOff>
      <xdr:row>87</xdr:row>
      <xdr:rowOff>51288</xdr:rowOff>
    </xdr:from>
    <xdr:to>
      <xdr:col>7</xdr:col>
      <xdr:colOff>241933</xdr:colOff>
      <xdr:row>99</xdr:row>
      <xdr:rowOff>185562</xdr:rowOff>
    </xdr:to>
    <xdr:pic>
      <xdr:nvPicPr>
        <xdr:cNvPr id="7" name="그림 6">
          <a:extLst>
            <a:ext uri="{FF2B5EF4-FFF2-40B4-BE49-F238E27FC236}">
              <a16:creationId xmlns:a16="http://schemas.microsoft.com/office/drawing/2014/main" id="{00000000-0008-0000-1B00-000007000000}"/>
            </a:ext>
          </a:extLst>
        </xdr:cNvPr>
        <xdr:cNvPicPr>
          <a:picLocks noChangeAspect="1"/>
        </xdr:cNvPicPr>
      </xdr:nvPicPr>
      <xdr:blipFill>
        <a:blip xmlns:r="http://schemas.openxmlformats.org/officeDocument/2006/relationships" r:embed="rId6"/>
        <a:stretch>
          <a:fillRect/>
        </a:stretch>
      </xdr:blipFill>
      <xdr:spPr>
        <a:xfrm>
          <a:off x="498231" y="18734942"/>
          <a:ext cx="4564817" cy="2749985"/>
        </a:xfrm>
        <a:prstGeom prst="rect">
          <a:avLst/>
        </a:prstGeom>
      </xdr:spPr>
    </xdr:pic>
    <xdr:clientData/>
  </xdr:twoCellAnchor>
  <xdr:twoCellAnchor editAs="oneCell">
    <xdr:from>
      <xdr:col>3</xdr:col>
      <xdr:colOff>80595</xdr:colOff>
      <xdr:row>101</xdr:row>
      <xdr:rowOff>58596</xdr:rowOff>
    </xdr:from>
    <xdr:to>
      <xdr:col>13</xdr:col>
      <xdr:colOff>279222</xdr:colOff>
      <xdr:row>118</xdr:row>
      <xdr:rowOff>109230</xdr:rowOff>
    </xdr:to>
    <xdr:pic>
      <xdr:nvPicPr>
        <xdr:cNvPr id="8" name="그림 7">
          <a:extLst>
            <a:ext uri="{FF2B5EF4-FFF2-40B4-BE49-F238E27FC236}">
              <a16:creationId xmlns:a16="http://schemas.microsoft.com/office/drawing/2014/main" id="{00000000-0008-0000-1B00-000008000000}"/>
            </a:ext>
          </a:extLst>
        </xdr:cNvPr>
        <xdr:cNvPicPr>
          <a:picLocks noChangeAspect="1"/>
        </xdr:cNvPicPr>
      </xdr:nvPicPr>
      <xdr:blipFill>
        <a:blip xmlns:r="http://schemas.openxmlformats.org/officeDocument/2006/relationships" r:embed="rId7"/>
        <a:stretch>
          <a:fillRect/>
        </a:stretch>
      </xdr:blipFill>
      <xdr:spPr>
        <a:xfrm>
          <a:off x="2146787" y="21782923"/>
          <a:ext cx="7085935" cy="3662807"/>
        </a:xfrm>
        <a:prstGeom prst="rect">
          <a:avLst/>
        </a:prstGeom>
      </xdr:spPr>
    </xdr:pic>
    <xdr:clientData/>
  </xdr:twoCellAnchor>
  <xdr:twoCellAnchor editAs="oneCell">
    <xdr:from>
      <xdr:col>3</xdr:col>
      <xdr:colOff>0</xdr:colOff>
      <xdr:row>173</xdr:row>
      <xdr:rowOff>0</xdr:rowOff>
    </xdr:from>
    <xdr:to>
      <xdr:col>15</xdr:col>
      <xdr:colOff>156505</xdr:colOff>
      <xdr:row>205</xdr:row>
      <xdr:rowOff>69099</xdr:rowOff>
    </xdr:to>
    <xdr:pic>
      <xdr:nvPicPr>
        <xdr:cNvPr id="9" name="그림 8">
          <a:extLst>
            <a:ext uri="{FF2B5EF4-FFF2-40B4-BE49-F238E27FC236}">
              <a16:creationId xmlns:a16="http://schemas.microsoft.com/office/drawing/2014/main" id="{00000000-0008-0000-1B00-000009000000}"/>
            </a:ext>
          </a:extLst>
        </xdr:cNvPr>
        <xdr:cNvPicPr>
          <a:picLocks noChangeAspect="1"/>
        </xdr:cNvPicPr>
      </xdr:nvPicPr>
      <xdr:blipFill>
        <a:blip xmlns:r="http://schemas.openxmlformats.org/officeDocument/2006/relationships" r:embed="rId8"/>
        <a:stretch>
          <a:fillRect/>
        </a:stretch>
      </xdr:blipFill>
      <xdr:spPr>
        <a:xfrm>
          <a:off x="2066192" y="37022942"/>
          <a:ext cx="8421275" cy="6868484"/>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0</xdr:colOff>
      <xdr:row>36</xdr:row>
      <xdr:rowOff>0</xdr:rowOff>
    </xdr:from>
    <xdr:to>
      <xdr:col>8</xdr:col>
      <xdr:colOff>836420</xdr:colOff>
      <xdr:row>53</xdr:row>
      <xdr:rowOff>162445</xdr:rowOff>
    </xdr:to>
    <xdr:pic>
      <xdr:nvPicPr>
        <xdr:cNvPr id="2" name="그림 1">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685800" y="7886700"/>
          <a:ext cx="8021169" cy="3724795"/>
        </a:xfrm>
        <a:prstGeom prst="rect">
          <a:avLst/>
        </a:prstGeom>
      </xdr:spPr>
    </xdr:pic>
    <xdr:clientData/>
  </xdr:twoCellAnchor>
  <xdr:twoCellAnchor editAs="oneCell">
    <xdr:from>
      <xdr:col>8</xdr:col>
      <xdr:colOff>209550</xdr:colOff>
      <xdr:row>37</xdr:row>
      <xdr:rowOff>77607</xdr:rowOff>
    </xdr:from>
    <xdr:to>
      <xdr:col>15</xdr:col>
      <xdr:colOff>60508</xdr:colOff>
      <xdr:row>52</xdr:row>
      <xdr:rowOff>96024</xdr:rowOff>
    </xdr:to>
    <xdr:pic>
      <xdr:nvPicPr>
        <xdr:cNvPr id="4" name="그림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2"/>
        <a:stretch>
          <a:fillRect/>
        </a:stretch>
      </xdr:blipFill>
      <xdr:spPr>
        <a:xfrm>
          <a:off x="8734425" y="8202432"/>
          <a:ext cx="5249562" cy="3161668"/>
        </a:xfrm>
        <a:prstGeom prst="rect">
          <a:avLst/>
        </a:prstGeom>
      </xdr:spPr>
    </xdr:pic>
    <xdr:clientData/>
  </xdr:twoCellAnchor>
  <xdr:twoCellAnchor editAs="oneCell">
    <xdr:from>
      <xdr:col>8</xdr:col>
      <xdr:colOff>257174</xdr:colOff>
      <xdr:row>53</xdr:row>
      <xdr:rowOff>207709</xdr:rowOff>
    </xdr:from>
    <xdr:to>
      <xdr:col>16</xdr:col>
      <xdr:colOff>441555</xdr:colOff>
      <xdr:row>71</xdr:row>
      <xdr:rowOff>200827</xdr:rowOff>
    </xdr:to>
    <xdr:pic>
      <xdr:nvPicPr>
        <xdr:cNvPr id="5" name="그림 4">
          <a:extLst>
            <a:ext uri="{FF2B5EF4-FFF2-40B4-BE49-F238E27FC236}">
              <a16:creationId xmlns:a16="http://schemas.microsoft.com/office/drawing/2014/main" id="{00000000-0008-0000-1C00-000005000000}"/>
            </a:ext>
          </a:extLst>
        </xdr:cNvPr>
        <xdr:cNvPicPr>
          <a:picLocks noChangeAspect="1"/>
        </xdr:cNvPicPr>
      </xdr:nvPicPr>
      <xdr:blipFill>
        <a:blip xmlns:r="http://schemas.openxmlformats.org/officeDocument/2006/relationships" r:embed="rId3"/>
        <a:stretch>
          <a:fillRect/>
        </a:stretch>
      </xdr:blipFill>
      <xdr:spPr>
        <a:xfrm>
          <a:off x="8782049" y="11685334"/>
          <a:ext cx="6268785" cy="3765018"/>
        </a:xfrm>
        <a:prstGeom prst="rect">
          <a:avLst/>
        </a:prstGeom>
      </xdr:spPr>
    </xdr:pic>
    <xdr:clientData/>
  </xdr:twoCellAnchor>
  <xdr:twoCellAnchor editAs="oneCell">
    <xdr:from>
      <xdr:col>2</xdr:col>
      <xdr:colOff>0</xdr:colOff>
      <xdr:row>137</xdr:row>
      <xdr:rowOff>0</xdr:rowOff>
    </xdr:from>
    <xdr:to>
      <xdr:col>10</xdr:col>
      <xdr:colOff>674594</xdr:colOff>
      <xdr:row>143</xdr:row>
      <xdr:rowOff>136331</xdr:rowOff>
    </xdr:to>
    <xdr:pic>
      <xdr:nvPicPr>
        <xdr:cNvPr id="6" name="그림 5">
          <a:extLst>
            <a:ext uri="{FF2B5EF4-FFF2-40B4-BE49-F238E27FC236}">
              <a16:creationId xmlns:a16="http://schemas.microsoft.com/office/drawing/2014/main" id="{00000000-0008-0000-1C00-000006000000}"/>
            </a:ext>
          </a:extLst>
        </xdr:cNvPr>
        <xdr:cNvPicPr>
          <a:picLocks noChangeAspect="1"/>
        </xdr:cNvPicPr>
      </xdr:nvPicPr>
      <xdr:blipFill>
        <a:blip xmlns:r="http://schemas.openxmlformats.org/officeDocument/2006/relationships" r:embed="rId4"/>
        <a:stretch>
          <a:fillRect/>
        </a:stretch>
      </xdr:blipFill>
      <xdr:spPr>
        <a:xfrm>
          <a:off x="1371600" y="57035700"/>
          <a:ext cx="8726118" cy="1867161"/>
        </a:xfrm>
        <a:prstGeom prst="rect">
          <a:avLst/>
        </a:prstGeom>
      </xdr:spPr>
    </xdr:pic>
    <xdr:clientData/>
  </xdr:twoCellAnchor>
  <xdr:twoCellAnchor editAs="oneCell">
    <xdr:from>
      <xdr:col>2</xdr:col>
      <xdr:colOff>0</xdr:colOff>
      <xdr:row>146</xdr:row>
      <xdr:rowOff>0</xdr:rowOff>
    </xdr:from>
    <xdr:to>
      <xdr:col>13</xdr:col>
      <xdr:colOff>364054</xdr:colOff>
      <xdr:row>154</xdr:row>
      <xdr:rowOff>40023</xdr:rowOff>
    </xdr:to>
    <xdr:pic>
      <xdr:nvPicPr>
        <xdr:cNvPr id="7" name="그림 6">
          <a:extLst>
            <a:ext uri="{FF2B5EF4-FFF2-40B4-BE49-F238E27FC236}">
              <a16:creationId xmlns:a16="http://schemas.microsoft.com/office/drawing/2014/main" id="{00000000-0008-0000-1C00-000007000000}"/>
            </a:ext>
          </a:extLst>
        </xdr:cNvPr>
        <xdr:cNvPicPr>
          <a:picLocks noChangeAspect="1"/>
        </xdr:cNvPicPr>
      </xdr:nvPicPr>
      <xdr:blipFill>
        <a:blip xmlns:r="http://schemas.openxmlformats.org/officeDocument/2006/relationships" r:embed="rId5"/>
        <a:stretch>
          <a:fillRect/>
        </a:stretch>
      </xdr:blipFill>
      <xdr:spPr>
        <a:xfrm>
          <a:off x="1367118" y="60478147"/>
          <a:ext cx="10879068" cy="1743318"/>
        </a:xfrm>
        <a:prstGeom prst="rect">
          <a:avLst/>
        </a:prstGeom>
      </xdr:spPr>
    </xdr:pic>
    <xdr:clientData/>
  </xdr:twoCellAnchor>
  <xdr:twoCellAnchor editAs="oneCell">
    <xdr:from>
      <xdr:col>2</xdr:col>
      <xdr:colOff>0</xdr:colOff>
      <xdr:row>156</xdr:row>
      <xdr:rowOff>0</xdr:rowOff>
    </xdr:from>
    <xdr:to>
      <xdr:col>11</xdr:col>
      <xdr:colOff>236603</xdr:colOff>
      <xdr:row>171</xdr:row>
      <xdr:rowOff>82080</xdr:rowOff>
    </xdr:to>
    <xdr:pic>
      <xdr:nvPicPr>
        <xdr:cNvPr id="8" name="그림 7">
          <a:extLst>
            <a:ext uri="{FF2B5EF4-FFF2-40B4-BE49-F238E27FC236}">
              <a16:creationId xmlns:a16="http://schemas.microsoft.com/office/drawing/2014/main" id="{00000000-0008-0000-1C00-000008000000}"/>
            </a:ext>
          </a:extLst>
        </xdr:cNvPr>
        <xdr:cNvPicPr>
          <a:picLocks noChangeAspect="1"/>
        </xdr:cNvPicPr>
      </xdr:nvPicPr>
      <xdr:blipFill>
        <a:blip xmlns:r="http://schemas.openxmlformats.org/officeDocument/2006/relationships" r:embed="rId6"/>
        <a:stretch>
          <a:fillRect/>
        </a:stretch>
      </xdr:blipFill>
      <xdr:spPr>
        <a:xfrm>
          <a:off x="1360714" y="60157179"/>
          <a:ext cx="9030960" cy="3143689"/>
        </a:xfrm>
        <a:prstGeom prst="rect">
          <a:avLst/>
        </a:prstGeom>
      </xdr:spPr>
    </xdr:pic>
    <xdr:clientData/>
  </xdr:twoCellAnchor>
  <xdr:twoCellAnchor editAs="oneCell">
    <xdr:from>
      <xdr:col>11</xdr:col>
      <xdr:colOff>0</xdr:colOff>
      <xdr:row>156</xdr:row>
      <xdr:rowOff>0</xdr:rowOff>
    </xdr:from>
    <xdr:to>
      <xdr:col>22</xdr:col>
      <xdr:colOff>576401</xdr:colOff>
      <xdr:row>184</xdr:row>
      <xdr:rowOff>105587</xdr:rowOff>
    </xdr:to>
    <xdr:pic>
      <xdr:nvPicPr>
        <xdr:cNvPr id="9" name="그림 8">
          <a:extLst>
            <a:ext uri="{FF2B5EF4-FFF2-40B4-BE49-F238E27FC236}">
              <a16:creationId xmlns:a16="http://schemas.microsoft.com/office/drawing/2014/main" id="{00000000-0008-0000-1C00-000009000000}"/>
            </a:ext>
          </a:extLst>
        </xdr:cNvPr>
        <xdr:cNvPicPr>
          <a:picLocks noChangeAspect="1"/>
        </xdr:cNvPicPr>
      </xdr:nvPicPr>
      <xdr:blipFill>
        <a:blip xmlns:r="http://schemas.openxmlformats.org/officeDocument/2006/relationships" r:embed="rId7"/>
        <a:stretch>
          <a:fillRect/>
        </a:stretch>
      </xdr:blipFill>
      <xdr:spPr>
        <a:xfrm>
          <a:off x="10804071" y="60157179"/>
          <a:ext cx="8411749" cy="5820587"/>
        </a:xfrm>
        <a:prstGeom prst="rect">
          <a:avLst/>
        </a:prstGeom>
      </xdr:spPr>
    </xdr:pic>
    <xdr:clientData/>
  </xdr:twoCellAnchor>
  <xdr:twoCellAnchor editAs="oneCell">
    <xdr:from>
      <xdr:col>23</xdr:col>
      <xdr:colOff>0</xdr:colOff>
      <xdr:row>156</xdr:row>
      <xdr:rowOff>0</xdr:rowOff>
    </xdr:from>
    <xdr:to>
      <xdr:col>36</xdr:col>
      <xdr:colOff>576899</xdr:colOff>
      <xdr:row>183</xdr:row>
      <xdr:rowOff>138219</xdr:rowOff>
    </xdr:to>
    <xdr:pic>
      <xdr:nvPicPr>
        <xdr:cNvPr id="10" name="그림 9">
          <a:extLst>
            <a:ext uri="{FF2B5EF4-FFF2-40B4-BE49-F238E27FC236}">
              <a16:creationId xmlns:a16="http://schemas.microsoft.com/office/drawing/2014/main" id="{00000000-0008-0000-1C00-00000A000000}"/>
            </a:ext>
          </a:extLst>
        </xdr:cNvPr>
        <xdr:cNvPicPr>
          <a:picLocks noChangeAspect="1"/>
        </xdr:cNvPicPr>
      </xdr:nvPicPr>
      <xdr:blipFill>
        <a:blip xmlns:r="http://schemas.openxmlformats.org/officeDocument/2006/relationships" r:embed="rId8"/>
        <a:stretch>
          <a:fillRect/>
        </a:stretch>
      </xdr:blipFill>
      <xdr:spPr>
        <a:xfrm>
          <a:off x="19866429" y="60157179"/>
          <a:ext cx="9421540" cy="5649113"/>
        </a:xfrm>
        <a:prstGeom prst="rect">
          <a:avLst/>
        </a:prstGeom>
      </xdr:spPr>
    </xdr:pic>
    <xdr:clientData/>
  </xdr:twoCellAnchor>
  <xdr:twoCellAnchor editAs="oneCell">
    <xdr:from>
      <xdr:col>37</xdr:col>
      <xdr:colOff>54429</xdr:colOff>
      <xdr:row>151</xdr:row>
      <xdr:rowOff>54428</xdr:rowOff>
    </xdr:from>
    <xdr:to>
      <xdr:col>50</xdr:col>
      <xdr:colOff>393169</xdr:colOff>
      <xdr:row>184</xdr:row>
      <xdr:rowOff>168324</xdr:rowOff>
    </xdr:to>
    <xdr:pic>
      <xdr:nvPicPr>
        <xdr:cNvPr id="11" name="그림 10">
          <a:extLst>
            <a:ext uri="{FF2B5EF4-FFF2-40B4-BE49-F238E27FC236}">
              <a16:creationId xmlns:a16="http://schemas.microsoft.com/office/drawing/2014/main" id="{00000000-0008-0000-1C00-00000B000000}"/>
            </a:ext>
          </a:extLst>
        </xdr:cNvPr>
        <xdr:cNvPicPr>
          <a:picLocks noChangeAspect="1"/>
        </xdr:cNvPicPr>
      </xdr:nvPicPr>
      <xdr:blipFill>
        <a:blip xmlns:r="http://schemas.openxmlformats.org/officeDocument/2006/relationships" r:embed="rId9"/>
        <a:stretch>
          <a:fillRect/>
        </a:stretch>
      </xdr:blipFill>
      <xdr:spPr>
        <a:xfrm>
          <a:off x="29445858" y="59191071"/>
          <a:ext cx="9183382" cy="6849431"/>
        </a:xfrm>
        <a:prstGeom prst="rect">
          <a:avLst/>
        </a:prstGeom>
      </xdr:spPr>
    </xdr:pic>
    <xdr:clientData/>
  </xdr:twoCellAnchor>
  <xdr:twoCellAnchor editAs="oneCell">
    <xdr:from>
      <xdr:col>2</xdr:col>
      <xdr:colOff>0</xdr:colOff>
      <xdr:row>80</xdr:row>
      <xdr:rowOff>0</xdr:rowOff>
    </xdr:from>
    <xdr:to>
      <xdr:col>8</xdr:col>
      <xdr:colOff>759101</xdr:colOff>
      <xdr:row>93</xdr:row>
      <xdr:rowOff>57083</xdr:rowOff>
    </xdr:to>
    <xdr:pic>
      <xdr:nvPicPr>
        <xdr:cNvPr id="12" name="그림 11">
          <a:extLst>
            <a:ext uri="{FF2B5EF4-FFF2-40B4-BE49-F238E27FC236}">
              <a16:creationId xmlns:a16="http://schemas.microsoft.com/office/drawing/2014/main" id="{00000000-0008-0000-1C00-00000C000000}"/>
            </a:ext>
          </a:extLst>
        </xdr:cNvPr>
        <xdr:cNvPicPr>
          <a:picLocks noChangeAspect="1"/>
        </xdr:cNvPicPr>
      </xdr:nvPicPr>
      <xdr:blipFill>
        <a:blip xmlns:r="http://schemas.openxmlformats.org/officeDocument/2006/relationships" r:embed="rId10"/>
        <a:stretch>
          <a:fillRect/>
        </a:stretch>
      </xdr:blipFill>
      <xdr:spPr>
        <a:xfrm>
          <a:off x="1371600" y="17259300"/>
          <a:ext cx="7258050" cy="2847907"/>
        </a:xfrm>
        <a:prstGeom prst="rect">
          <a:avLst/>
        </a:prstGeom>
      </xdr:spPr>
    </xdr:pic>
    <xdr:clientData/>
  </xdr:twoCellAnchor>
  <xdr:twoCellAnchor editAs="oneCell">
    <xdr:from>
      <xdr:col>2</xdr:col>
      <xdr:colOff>0</xdr:colOff>
      <xdr:row>189</xdr:row>
      <xdr:rowOff>0</xdr:rowOff>
    </xdr:from>
    <xdr:to>
      <xdr:col>10</xdr:col>
      <xdr:colOff>743973</xdr:colOff>
      <xdr:row>218</xdr:row>
      <xdr:rowOff>52138</xdr:rowOff>
    </xdr:to>
    <xdr:pic>
      <xdr:nvPicPr>
        <xdr:cNvPr id="13" name="그림 12">
          <a:extLst>
            <a:ext uri="{FF2B5EF4-FFF2-40B4-BE49-F238E27FC236}">
              <a16:creationId xmlns:a16="http://schemas.microsoft.com/office/drawing/2014/main" id="{00000000-0008-0000-1C00-00000D000000}"/>
            </a:ext>
          </a:extLst>
        </xdr:cNvPr>
        <xdr:cNvPicPr>
          <a:picLocks noChangeAspect="1"/>
        </xdr:cNvPicPr>
      </xdr:nvPicPr>
      <xdr:blipFill>
        <a:blip xmlns:r="http://schemas.openxmlformats.org/officeDocument/2006/relationships" r:embed="rId11"/>
        <a:stretch>
          <a:fillRect/>
        </a:stretch>
      </xdr:blipFill>
      <xdr:spPr>
        <a:xfrm>
          <a:off x="1367118" y="42190147"/>
          <a:ext cx="8785411" cy="6226579"/>
        </a:xfrm>
        <a:prstGeom prst="rect">
          <a:avLst/>
        </a:prstGeom>
      </xdr:spPr>
    </xdr:pic>
    <xdr:clientData/>
  </xdr:twoCellAnchor>
  <xdr:twoCellAnchor editAs="oneCell">
    <xdr:from>
      <xdr:col>2</xdr:col>
      <xdr:colOff>0</xdr:colOff>
      <xdr:row>222</xdr:row>
      <xdr:rowOff>0</xdr:rowOff>
    </xdr:from>
    <xdr:to>
      <xdr:col>12</xdr:col>
      <xdr:colOff>194141</xdr:colOff>
      <xdr:row>251</xdr:row>
      <xdr:rowOff>112936</xdr:rowOff>
    </xdr:to>
    <xdr:pic>
      <xdr:nvPicPr>
        <xdr:cNvPr id="14" name="그림 13">
          <a:extLst>
            <a:ext uri="{FF2B5EF4-FFF2-40B4-BE49-F238E27FC236}">
              <a16:creationId xmlns:a16="http://schemas.microsoft.com/office/drawing/2014/main" id="{00000000-0008-0000-1C00-00000E000000}"/>
            </a:ext>
          </a:extLst>
        </xdr:cNvPr>
        <xdr:cNvPicPr>
          <a:picLocks noChangeAspect="1"/>
        </xdr:cNvPicPr>
      </xdr:nvPicPr>
      <xdr:blipFill>
        <a:blip xmlns:r="http://schemas.openxmlformats.org/officeDocument/2006/relationships" r:embed="rId12"/>
        <a:stretch>
          <a:fillRect/>
        </a:stretch>
      </xdr:blipFill>
      <xdr:spPr>
        <a:xfrm>
          <a:off x="1367118" y="49227441"/>
          <a:ext cx="10021699" cy="6287377"/>
        </a:xfrm>
        <a:prstGeom prst="rect">
          <a:avLst/>
        </a:prstGeom>
      </xdr:spPr>
    </xdr:pic>
    <xdr:clientData/>
  </xdr:twoCellAnchor>
  <xdr:twoCellAnchor editAs="oneCell">
    <xdr:from>
      <xdr:col>8</xdr:col>
      <xdr:colOff>657224</xdr:colOff>
      <xdr:row>71</xdr:row>
      <xdr:rowOff>196188</xdr:rowOff>
    </xdr:from>
    <xdr:to>
      <xdr:col>17</xdr:col>
      <xdr:colOff>567316</xdr:colOff>
      <xdr:row>86</xdr:row>
      <xdr:rowOff>48379</xdr:rowOff>
    </xdr:to>
    <xdr:pic>
      <xdr:nvPicPr>
        <xdr:cNvPr id="3" name="그림 2">
          <a:extLst>
            <a:ext uri="{FF2B5EF4-FFF2-40B4-BE49-F238E27FC236}">
              <a16:creationId xmlns:a16="http://schemas.microsoft.com/office/drawing/2014/main" id="{00000000-0008-0000-1C00-000003000000}"/>
            </a:ext>
          </a:extLst>
        </xdr:cNvPr>
        <xdr:cNvPicPr>
          <a:picLocks noChangeAspect="1"/>
        </xdr:cNvPicPr>
      </xdr:nvPicPr>
      <xdr:blipFill>
        <a:blip xmlns:r="http://schemas.openxmlformats.org/officeDocument/2006/relationships" r:embed="rId13"/>
        <a:stretch>
          <a:fillRect/>
        </a:stretch>
      </xdr:blipFill>
      <xdr:spPr>
        <a:xfrm>
          <a:off x="9182099" y="15531438"/>
          <a:ext cx="6678639" cy="3119266"/>
        </a:xfrm>
        <a:prstGeom prst="rect">
          <a:avLst/>
        </a:prstGeom>
      </xdr:spPr>
    </xdr:pic>
    <xdr:clientData/>
  </xdr:twoCellAnchor>
  <xdr:twoCellAnchor editAs="oneCell">
    <xdr:from>
      <xdr:col>26</xdr:col>
      <xdr:colOff>28575</xdr:colOff>
      <xdr:row>78</xdr:row>
      <xdr:rowOff>0</xdr:rowOff>
    </xdr:from>
    <xdr:to>
      <xdr:col>40</xdr:col>
      <xdr:colOff>230211</xdr:colOff>
      <xdr:row>90</xdr:row>
      <xdr:rowOff>180977</xdr:rowOff>
    </xdr:to>
    <xdr:pic>
      <xdr:nvPicPr>
        <xdr:cNvPr id="15" name="그림 14">
          <a:extLst>
            <a:ext uri="{FF2B5EF4-FFF2-40B4-BE49-F238E27FC236}">
              <a16:creationId xmlns:a16="http://schemas.microsoft.com/office/drawing/2014/main" id="{00000000-0008-0000-1C00-00000F000000}"/>
            </a:ext>
          </a:extLst>
        </xdr:cNvPr>
        <xdr:cNvPicPr>
          <a:picLocks noChangeAspect="1"/>
        </xdr:cNvPicPr>
      </xdr:nvPicPr>
      <xdr:blipFill>
        <a:blip xmlns:r="http://schemas.openxmlformats.org/officeDocument/2006/relationships" r:embed="rId14"/>
        <a:stretch>
          <a:fillRect/>
        </a:stretch>
      </xdr:blipFill>
      <xdr:spPr>
        <a:xfrm>
          <a:off x="22040850" y="16925925"/>
          <a:ext cx="9802835" cy="2695577"/>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xdr:from>
      <xdr:col>9</xdr:col>
      <xdr:colOff>249115</xdr:colOff>
      <xdr:row>8</xdr:row>
      <xdr:rowOff>124558</xdr:rowOff>
    </xdr:from>
    <xdr:to>
      <xdr:col>9</xdr:col>
      <xdr:colOff>468923</xdr:colOff>
      <xdr:row>9</xdr:row>
      <xdr:rowOff>131885</xdr:rowOff>
    </xdr:to>
    <xdr:sp macro="" textlink="">
      <xdr:nvSpPr>
        <xdr:cNvPr id="2" name="타원 1">
          <a:extLst>
            <a:ext uri="{FF2B5EF4-FFF2-40B4-BE49-F238E27FC236}">
              <a16:creationId xmlns:a16="http://schemas.microsoft.com/office/drawing/2014/main" id="{00000000-0008-0000-1D00-000002000000}"/>
            </a:ext>
          </a:extLst>
        </xdr:cNvPr>
        <xdr:cNvSpPr/>
      </xdr:nvSpPr>
      <xdr:spPr>
        <a:xfrm rot="12202146">
          <a:off x="1626577" y="1824404"/>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10</xdr:row>
      <xdr:rowOff>139211</xdr:rowOff>
    </xdr:from>
    <xdr:to>
      <xdr:col>9</xdr:col>
      <xdr:colOff>505557</xdr:colOff>
      <xdr:row>11</xdr:row>
      <xdr:rowOff>146539</xdr:rowOff>
    </xdr:to>
    <xdr:sp macro="" textlink="">
      <xdr:nvSpPr>
        <xdr:cNvPr id="3" name="타원 2">
          <a:extLst>
            <a:ext uri="{FF2B5EF4-FFF2-40B4-BE49-F238E27FC236}">
              <a16:creationId xmlns:a16="http://schemas.microsoft.com/office/drawing/2014/main" id="{00000000-0008-0000-1D00-000003000000}"/>
            </a:ext>
          </a:extLst>
        </xdr:cNvPr>
        <xdr:cNvSpPr/>
      </xdr:nvSpPr>
      <xdr:spPr>
        <a:xfrm rot="12202146">
          <a:off x="1663211" y="2264019"/>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20</xdr:row>
      <xdr:rowOff>205152</xdr:rowOff>
    </xdr:from>
    <xdr:to>
      <xdr:col>9</xdr:col>
      <xdr:colOff>549518</xdr:colOff>
      <xdr:row>21</xdr:row>
      <xdr:rowOff>212479</xdr:rowOff>
    </xdr:to>
    <xdr:sp macro="" textlink="">
      <xdr:nvSpPr>
        <xdr:cNvPr id="4" name="타원 3">
          <a:extLst>
            <a:ext uri="{FF2B5EF4-FFF2-40B4-BE49-F238E27FC236}">
              <a16:creationId xmlns:a16="http://schemas.microsoft.com/office/drawing/2014/main" id="{00000000-0008-0000-1D00-000004000000}"/>
            </a:ext>
          </a:extLst>
        </xdr:cNvPr>
        <xdr:cNvSpPr/>
      </xdr:nvSpPr>
      <xdr:spPr>
        <a:xfrm rot="12202146">
          <a:off x="1707172" y="4454767"/>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12</xdr:row>
      <xdr:rowOff>87922</xdr:rowOff>
    </xdr:from>
    <xdr:to>
      <xdr:col>9</xdr:col>
      <xdr:colOff>498229</xdr:colOff>
      <xdr:row>13</xdr:row>
      <xdr:rowOff>95249</xdr:rowOff>
    </xdr:to>
    <xdr:sp macro="" textlink="">
      <xdr:nvSpPr>
        <xdr:cNvPr id="5" name="타원 4">
          <a:extLst>
            <a:ext uri="{FF2B5EF4-FFF2-40B4-BE49-F238E27FC236}">
              <a16:creationId xmlns:a16="http://schemas.microsoft.com/office/drawing/2014/main" id="{00000000-0008-0000-1D00-000005000000}"/>
            </a:ext>
          </a:extLst>
        </xdr:cNvPr>
        <xdr:cNvSpPr/>
      </xdr:nvSpPr>
      <xdr:spPr>
        <a:xfrm rot="12202146">
          <a:off x="1655883" y="2637691"/>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15</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D00-000006000000}"/>
                </a:ext>
              </a:extLst>
            </xdr:cNvPr>
            <xdr:cNvSpPr txBox="1"/>
          </xdr:nvSpPr>
          <xdr:spPr>
            <a:xfrm>
              <a:off x="1601666" y="323923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1601666" y="323923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7</xdr:col>
      <xdr:colOff>165589</xdr:colOff>
      <xdr:row>13</xdr:row>
      <xdr:rowOff>205885</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1D00-000007000000}"/>
                </a:ext>
              </a:extLst>
            </xdr:cNvPr>
            <xdr:cNvSpPr txBox="1"/>
          </xdr:nvSpPr>
          <xdr:spPr>
            <a:xfrm>
              <a:off x="165589" y="29974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165589" y="29974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322384</xdr:colOff>
      <xdr:row>14</xdr:row>
      <xdr:rowOff>29309</xdr:rowOff>
    </xdr:from>
    <xdr:to>
      <xdr:col>12</xdr:col>
      <xdr:colOff>542192</xdr:colOff>
      <xdr:row>15</xdr:row>
      <xdr:rowOff>36636</xdr:rowOff>
    </xdr:to>
    <xdr:sp macro="" textlink="">
      <xdr:nvSpPr>
        <xdr:cNvPr id="8" name="타원 7">
          <a:extLst>
            <a:ext uri="{FF2B5EF4-FFF2-40B4-BE49-F238E27FC236}">
              <a16:creationId xmlns:a16="http://schemas.microsoft.com/office/drawing/2014/main" id="{00000000-0008-0000-1D00-000008000000}"/>
            </a:ext>
          </a:extLst>
        </xdr:cNvPr>
        <xdr:cNvSpPr/>
      </xdr:nvSpPr>
      <xdr:spPr>
        <a:xfrm rot="12202146">
          <a:off x="3766038" y="3033347"/>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630115</xdr:colOff>
      <xdr:row>8</xdr:row>
      <xdr:rowOff>190868</xdr:rowOff>
    </xdr:from>
    <xdr:to>
      <xdr:col>9</xdr:col>
      <xdr:colOff>258131</xdr:colOff>
      <xdr:row>10</xdr:row>
      <xdr:rowOff>102577</xdr:rowOff>
    </xdr:to>
    <xdr:cxnSp macro="">
      <xdr:nvCxnSpPr>
        <xdr:cNvPr id="10" name="직선 연결선 9">
          <a:extLst>
            <a:ext uri="{FF2B5EF4-FFF2-40B4-BE49-F238E27FC236}">
              <a16:creationId xmlns:a16="http://schemas.microsoft.com/office/drawing/2014/main" id="{00000000-0008-0000-1D00-00000A000000}"/>
            </a:ext>
          </a:extLst>
        </xdr:cNvPr>
        <xdr:cNvCxnSpPr>
          <a:endCxn id="2" idx="6"/>
        </xdr:cNvCxnSpPr>
      </xdr:nvCxnSpPr>
      <xdr:spPr>
        <a:xfrm flipV="1">
          <a:off x="630115" y="1890714"/>
          <a:ext cx="1005478" cy="3366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7327</xdr:colOff>
      <xdr:row>10</xdr:row>
      <xdr:rowOff>102577</xdr:rowOff>
    </xdr:from>
    <xdr:to>
      <xdr:col>9</xdr:col>
      <xdr:colOff>294765</xdr:colOff>
      <xdr:row>10</xdr:row>
      <xdr:rowOff>212848</xdr:rowOff>
    </xdr:to>
    <xdr:cxnSp macro="">
      <xdr:nvCxnSpPr>
        <xdr:cNvPr id="11" name="직선 연결선 10">
          <a:extLst>
            <a:ext uri="{FF2B5EF4-FFF2-40B4-BE49-F238E27FC236}">
              <a16:creationId xmlns:a16="http://schemas.microsoft.com/office/drawing/2014/main" id="{00000000-0008-0000-1D00-00000B000000}"/>
            </a:ext>
          </a:extLst>
        </xdr:cNvPr>
        <xdr:cNvCxnSpPr>
          <a:endCxn id="3" idx="6"/>
        </xdr:cNvCxnSpPr>
      </xdr:nvCxnSpPr>
      <xdr:spPr>
        <a:xfrm>
          <a:off x="696058" y="2227385"/>
          <a:ext cx="976169" cy="1102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29307</xdr:colOff>
      <xdr:row>10</xdr:row>
      <xdr:rowOff>109904</xdr:rowOff>
    </xdr:from>
    <xdr:to>
      <xdr:col>9</xdr:col>
      <xdr:colOff>287437</xdr:colOff>
      <xdr:row>12</xdr:row>
      <xdr:rowOff>161559</xdr:rowOff>
    </xdr:to>
    <xdr:cxnSp macro="">
      <xdr:nvCxnSpPr>
        <xdr:cNvPr id="14" name="직선 연결선 13">
          <a:extLst>
            <a:ext uri="{FF2B5EF4-FFF2-40B4-BE49-F238E27FC236}">
              <a16:creationId xmlns:a16="http://schemas.microsoft.com/office/drawing/2014/main" id="{00000000-0008-0000-1D00-00000E000000}"/>
            </a:ext>
          </a:extLst>
        </xdr:cNvPr>
        <xdr:cNvCxnSpPr>
          <a:endCxn id="5" idx="6"/>
        </xdr:cNvCxnSpPr>
      </xdr:nvCxnSpPr>
      <xdr:spPr>
        <a:xfrm>
          <a:off x="718038" y="2234712"/>
          <a:ext cx="946861" cy="49127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666750</xdr:colOff>
      <xdr:row>10</xdr:row>
      <xdr:rowOff>139211</xdr:rowOff>
    </xdr:from>
    <xdr:to>
      <xdr:col>9</xdr:col>
      <xdr:colOff>338726</xdr:colOff>
      <xdr:row>21</xdr:row>
      <xdr:rowOff>58981</xdr:rowOff>
    </xdr:to>
    <xdr:cxnSp macro="">
      <xdr:nvCxnSpPr>
        <xdr:cNvPr id="18" name="직선 연결선 17">
          <a:extLst>
            <a:ext uri="{FF2B5EF4-FFF2-40B4-BE49-F238E27FC236}">
              <a16:creationId xmlns:a16="http://schemas.microsoft.com/office/drawing/2014/main" id="{00000000-0008-0000-1D00-000012000000}"/>
            </a:ext>
          </a:extLst>
        </xdr:cNvPr>
        <xdr:cNvCxnSpPr>
          <a:endCxn id="4" idx="6"/>
        </xdr:cNvCxnSpPr>
      </xdr:nvCxnSpPr>
      <xdr:spPr>
        <a:xfrm>
          <a:off x="666750" y="2264019"/>
          <a:ext cx="1049438" cy="230102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520211</xdr:colOff>
      <xdr:row>9</xdr:row>
      <xdr:rowOff>0</xdr:rowOff>
    </xdr:from>
    <xdr:to>
      <xdr:col>12</xdr:col>
      <xdr:colOff>331400</xdr:colOff>
      <xdr:row>14</xdr:row>
      <xdr:rowOff>95619</xdr:rowOff>
    </xdr:to>
    <xdr:cxnSp macro="">
      <xdr:nvCxnSpPr>
        <xdr:cNvPr id="22" name="직선 연결선 21">
          <a:extLst>
            <a:ext uri="{FF2B5EF4-FFF2-40B4-BE49-F238E27FC236}">
              <a16:creationId xmlns:a16="http://schemas.microsoft.com/office/drawing/2014/main" id="{00000000-0008-0000-1D00-000016000000}"/>
            </a:ext>
          </a:extLst>
        </xdr:cNvPr>
        <xdr:cNvCxnSpPr>
          <a:endCxn id="8" idx="6"/>
        </xdr:cNvCxnSpPr>
      </xdr:nvCxnSpPr>
      <xdr:spPr>
        <a:xfrm>
          <a:off x="1897673" y="1912327"/>
          <a:ext cx="1877381" cy="118733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520211</xdr:colOff>
      <xdr:row>11</xdr:row>
      <xdr:rowOff>109904</xdr:rowOff>
    </xdr:from>
    <xdr:to>
      <xdr:col>12</xdr:col>
      <xdr:colOff>330124</xdr:colOff>
      <xdr:row>14</xdr:row>
      <xdr:rowOff>179727</xdr:rowOff>
    </xdr:to>
    <xdr:cxnSp macro="">
      <xdr:nvCxnSpPr>
        <xdr:cNvPr id="25" name="직선 연결선 24">
          <a:extLst>
            <a:ext uri="{FF2B5EF4-FFF2-40B4-BE49-F238E27FC236}">
              <a16:creationId xmlns:a16="http://schemas.microsoft.com/office/drawing/2014/main" id="{00000000-0008-0000-1D00-000019000000}"/>
            </a:ext>
          </a:extLst>
        </xdr:cNvPr>
        <xdr:cNvCxnSpPr>
          <a:endCxn id="8" idx="7"/>
        </xdr:cNvCxnSpPr>
      </xdr:nvCxnSpPr>
      <xdr:spPr>
        <a:xfrm>
          <a:off x="1897673" y="2461846"/>
          <a:ext cx="1876105" cy="72191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527538</xdr:colOff>
      <xdr:row>13</xdr:row>
      <xdr:rowOff>58615</xdr:rowOff>
    </xdr:from>
    <xdr:to>
      <xdr:col>12</xdr:col>
      <xdr:colOff>337038</xdr:colOff>
      <xdr:row>15</xdr:row>
      <xdr:rowOff>51289</xdr:rowOff>
    </xdr:to>
    <xdr:cxnSp macro="">
      <xdr:nvCxnSpPr>
        <xdr:cNvPr id="27" name="직선 연결선 26">
          <a:extLst>
            <a:ext uri="{FF2B5EF4-FFF2-40B4-BE49-F238E27FC236}">
              <a16:creationId xmlns:a16="http://schemas.microsoft.com/office/drawing/2014/main" id="{00000000-0008-0000-1D00-00001B000000}"/>
            </a:ext>
          </a:extLst>
        </xdr:cNvPr>
        <xdr:cNvCxnSpPr/>
      </xdr:nvCxnSpPr>
      <xdr:spPr>
        <a:xfrm>
          <a:off x="1905000" y="2850173"/>
          <a:ext cx="1875692" cy="41763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608134</xdr:colOff>
      <xdr:row>15</xdr:row>
      <xdr:rowOff>27620</xdr:rowOff>
    </xdr:from>
    <xdr:to>
      <xdr:col>12</xdr:col>
      <xdr:colOff>388694</xdr:colOff>
      <xdr:row>21</xdr:row>
      <xdr:rowOff>146538</xdr:rowOff>
    </xdr:to>
    <xdr:cxnSp macro="">
      <xdr:nvCxnSpPr>
        <xdr:cNvPr id="29" name="직선 연결선 28">
          <a:extLst>
            <a:ext uri="{FF2B5EF4-FFF2-40B4-BE49-F238E27FC236}">
              <a16:creationId xmlns:a16="http://schemas.microsoft.com/office/drawing/2014/main" id="{00000000-0008-0000-1D00-00001D000000}"/>
            </a:ext>
          </a:extLst>
        </xdr:cNvPr>
        <xdr:cNvCxnSpPr>
          <a:endCxn id="8" idx="0"/>
        </xdr:cNvCxnSpPr>
      </xdr:nvCxnSpPr>
      <xdr:spPr>
        <a:xfrm flipV="1">
          <a:off x="1985596" y="3244139"/>
          <a:ext cx="1846752" cy="140845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271096</xdr:colOff>
      <xdr:row>9</xdr:row>
      <xdr:rowOff>168519</xdr:rowOff>
    </xdr:from>
    <xdr:to>
      <xdr:col>12</xdr:col>
      <xdr:colOff>615461</xdr:colOff>
      <xdr:row>13</xdr:row>
      <xdr:rowOff>21980</xdr:rowOff>
    </xdr:to>
    <xdr:cxnSp macro="">
      <xdr:nvCxnSpPr>
        <xdr:cNvPr id="33" name="직선 화살표 연결선 32">
          <a:extLst>
            <a:ext uri="{FF2B5EF4-FFF2-40B4-BE49-F238E27FC236}">
              <a16:creationId xmlns:a16="http://schemas.microsoft.com/office/drawing/2014/main" id="{00000000-0008-0000-1D00-000021000000}"/>
            </a:ext>
          </a:extLst>
        </xdr:cNvPr>
        <xdr:cNvCxnSpPr/>
      </xdr:nvCxnSpPr>
      <xdr:spPr>
        <a:xfrm flipH="1" flipV="1">
          <a:off x="2337288" y="2080846"/>
          <a:ext cx="1721827" cy="732692"/>
        </a:xfrm>
        <a:prstGeom prst="straightConnector1">
          <a:avLst/>
        </a:prstGeom>
        <a:ln w="9525" cap="flat" cmpd="sng" algn="ctr">
          <a:solidFill>
            <a:srgbClr val="FF0000"/>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13</xdr:col>
      <xdr:colOff>119503</xdr:colOff>
      <xdr:row>20</xdr:row>
      <xdr:rowOff>8590</xdr:rowOff>
    </xdr:from>
    <xdr:to>
      <xdr:col>19</xdr:col>
      <xdr:colOff>418904</xdr:colOff>
      <xdr:row>31</xdr:row>
      <xdr:rowOff>50482</xdr:rowOff>
    </xdr:to>
    <xdr:pic>
      <xdr:nvPicPr>
        <xdr:cNvPr id="34" name="그림 33">
          <a:extLst>
            <a:ext uri="{FF2B5EF4-FFF2-40B4-BE49-F238E27FC236}">
              <a16:creationId xmlns:a16="http://schemas.microsoft.com/office/drawing/2014/main" id="{00000000-0008-0000-1D00-000022000000}"/>
            </a:ext>
          </a:extLst>
        </xdr:cNvPr>
        <xdr:cNvPicPr>
          <a:picLocks noChangeAspect="1"/>
        </xdr:cNvPicPr>
      </xdr:nvPicPr>
      <xdr:blipFill>
        <a:blip xmlns:r="http://schemas.openxmlformats.org/officeDocument/2006/relationships" r:embed="rId1"/>
        <a:stretch>
          <a:fillRect/>
        </a:stretch>
      </xdr:blipFill>
      <xdr:spPr>
        <a:xfrm>
          <a:off x="4218537" y="4271849"/>
          <a:ext cx="4398436" cy="2420110"/>
        </a:xfrm>
        <a:prstGeom prst="rect">
          <a:avLst/>
        </a:prstGeom>
      </xdr:spPr>
    </xdr:pic>
    <xdr:clientData/>
  </xdr:twoCellAnchor>
  <xdr:oneCellAnchor>
    <xdr:from>
      <xdr:col>0</xdr:col>
      <xdr:colOff>119606</xdr:colOff>
      <xdr:row>17</xdr:row>
      <xdr:rowOff>94212</xdr:rowOff>
    </xdr:from>
    <xdr:ext cx="330283" cy="751424"/>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00000000-0008-0000-1D00-000023000000}"/>
                </a:ext>
              </a:extLst>
            </xdr:cNvPr>
            <xdr:cNvSpPr txBox="1"/>
          </xdr:nvSpPr>
          <xdr:spPr>
            <a:xfrm>
              <a:off x="119606" y="37071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5" name="TextBox 34"/>
            <xdr:cNvSpPr txBox="1"/>
          </xdr:nvSpPr>
          <xdr:spPr>
            <a:xfrm>
              <a:off x="119606" y="37071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10</xdr:col>
      <xdr:colOff>670035</xdr:colOff>
      <xdr:row>5</xdr:row>
      <xdr:rowOff>118523</xdr:rowOff>
    </xdr:from>
    <xdr:to>
      <xdr:col>22</xdr:col>
      <xdr:colOff>130537</xdr:colOff>
      <xdr:row>7</xdr:row>
      <xdr:rowOff>151898</xdr:rowOff>
    </xdr:to>
    <xdr:pic>
      <xdr:nvPicPr>
        <xdr:cNvPr id="36" name="그림 35">
          <a:extLst>
            <a:ext uri="{FF2B5EF4-FFF2-40B4-BE49-F238E27FC236}">
              <a16:creationId xmlns:a16="http://schemas.microsoft.com/office/drawing/2014/main" id="{00000000-0008-0000-1D00-000024000000}"/>
            </a:ext>
          </a:extLst>
        </xdr:cNvPr>
        <xdr:cNvPicPr>
          <a:picLocks noChangeAspect="1"/>
        </xdr:cNvPicPr>
      </xdr:nvPicPr>
      <xdr:blipFill>
        <a:blip xmlns:r="http://schemas.openxmlformats.org/officeDocument/2006/relationships" r:embed="rId2"/>
        <a:stretch>
          <a:fillRect/>
        </a:stretch>
      </xdr:blipFill>
      <xdr:spPr>
        <a:xfrm>
          <a:off x="7501759" y="1169557"/>
          <a:ext cx="7658571" cy="453789"/>
        </a:xfrm>
        <a:prstGeom prst="rect">
          <a:avLst/>
        </a:prstGeom>
      </xdr:spPr>
    </xdr:pic>
    <xdr:clientData/>
  </xdr:twoCellAnchor>
  <xdr:twoCellAnchor editAs="oneCell">
    <xdr:from>
      <xdr:col>7</xdr:col>
      <xdr:colOff>0</xdr:colOff>
      <xdr:row>33</xdr:row>
      <xdr:rowOff>0</xdr:rowOff>
    </xdr:from>
    <xdr:to>
      <xdr:col>18</xdr:col>
      <xdr:colOff>392464</xdr:colOff>
      <xdr:row>45</xdr:row>
      <xdr:rowOff>135701</xdr:rowOff>
    </xdr:to>
    <xdr:pic>
      <xdr:nvPicPr>
        <xdr:cNvPr id="37" name="그림 36">
          <a:extLst>
            <a:ext uri="{FF2B5EF4-FFF2-40B4-BE49-F238E27FC236}">
              <a16:creationId xmlns:a16="http://schemas.microsoft.com/office/drawing/2014/main" id="{00000000-0008-0000-1D00-000025000000}"/>
            </a:ext>
          </a:extLst>
        </xdr:cNvPr>
        <xdr:cNvPicPr>
          <a:picLocks noChangeAspect="1"/>
        </xdr:cNvPicPr>
      </xdr:nvPicPr>
      <xdr:blipFill>
        <a:blip xmlns:r="http://schemas.openxmlformats.org/officeDocument/2006/relationships" r:embed="rId3"/>
        <a:stretch>
          <a:fillRect/>
        </a:stretch>
      </xdr:blipFill>
      <xdr:spPr>
        <a:xfrm>
          <a:off x="4812196" y="6907696"/>
          <a:ext cx="7954485" cy="2686425"/>
        </a:xfrm>
        <a:prstGeom prst="rect">
          <a:avLst/>
        </a:prstGeom>
      </xdr:spPr>
    </xdr:pic>
    <xdr:clientData/>
  </xdr:twoCellAnchor>
  <xdr:twoCellAnchor editAs="oneCell">
    <xdr:from>
      <xdr:col>1</xdr:col>
      <xdr:colOff>347382</xdr:colOff>
      <xdr:row>16</xdr:row>
      <xdr:rowOff>155499</xdr:rowOff>
    </xdr:from>
    <xdr:to>
      <xdr:col>6</xdr:col>
      <xdr:colOff>182445</xdr:colOff>
      <xdr:row>26</xdr:row>
      <xdr:rowOff>5248</xdr:rowOff>
    </xdr:to>
    <xdr:pic>
      <xdr:nvPicPr>
        <xdr:cNvPr id="38" name="그림 37">
          <a:extLst>
            <a:ext uri="{FF2B5EF4-FFF2-40B4-BE49-F238E27FC236}">
              <a16:creationId xmlns:a16="http://schemas.microsoft.com/office/drawing/2014/main" id="{00000000-0008-0000-1D00-000026000000}"/>
            </a:ext>
          </a:extLst>
        </xdr:cNvPr>
        <xdr:cNvPicPr>
          <a:picLocks noChangeAspect="1"/>
        </xdr:cNvPicPr>
      </xdr:nvPicPr>
      <xdr:blipFill>
        <a:blip xmlns:r="http://schemas.openxmlformats.org/officeDocument/2006/relationships" r:embed="rId4"/>
        <a:stretch>
          <a:fillRect/>
        </a:stretch>
      </xdr:blipFill>
      <xdr:spPr>
        <a:xfrm>
          <a:off x="1030941" y="3584499"/>
          <a:ext cx="3294529" cy="2035945"/>
        </a:xfrm>
        <a:prstGeom prst="rect">
          <a:avLst/>
        </a:prstGeom>
      </xdr:spPr>
    </xdr:pic>
    <xdr:clientData/>
  </xdr:twoCellAnchor>
  <xdr:twoCellAnchor>
    <xdr:from>
      <xdr:col>7</xdr:col>
      <xdr:colOff>157369</xdr:colOff>
      <xdr:row>4</xdr:row>
      <xdr:rowOff>204106</xdr:rowOff>
    </xdr:from>
    <xdr:to>
      <xdr:col>8</xdr:col>
      <xdr:colOff>82827</xdr:colOff>
      <xdr:row>7</xdr:row>
      <xdr:rowOff>152044</xdr:rowOff>
    </xdr:to>
    <xdr:sp macro="" textlink="">
      <xdr:nvSpPr>
        <xdr:cNvPr id="39" name="타원 38">
          <a:extLst>
            <a:ext uri="{FF2B5EF4-FFF2-40B4-BE49-F238E27FC236}">
              <a16:creationId xmlns:a16="http://schemas.microsoft.com/office/drawing/2014/main" id="{00000000-0008-0000-1D00-000027000000}"/>
            </a:ext>
          </a:extLst>
        </xdr:cNvPr>
        <xdr:cNvSpPr/>
      </xdr:nvSpPr>
      <xdr:spPr>
        <a:xfrm>
          <a:off x="4969565" y="1032367"/>
          <a:ext cx="612914" cy="5691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8</xdr:col>
      <xdr:colOff>124239</xdr:colOff>
      <xdr:row>6</xdr:row>
      <xdr:rowOff>157370</xdr:rowOff>
    </xdr:from>
    <xdr:to>
      <xdr:col>9</xdr:col>
      <xdr:colOff>258131</xdr:colOff>
      <xdr:row>8</xdr:row>
      <xdr:rowOff>188160</xdr:rowOff>
    </xdr:to>
    <xdr:cxnSp macro="">
      <xdr:nvCxnSpPr>
        <xdr:cNvPr id="41" name="직선 연결선 40">
          <a:extLst>
            <a:ext uri="{FF2B5EF4-FFF2-40B4-BE49-F238E27FC236}">
              <a16:creationId xmlns:a16="http://schemas.microsoft.com/office/drawing/2014/main" id="{00000000-0008-0000-1D00-000029000000}"/>
            </a:ext>
          </a:extLst>
        </xdr:cNvPr>
        <xdr:cNvCxnSpPr>
          <a:endCxn id="2" idx="6"/>
        </xdr:cNvCxnSpPr>
      </xdr:nvCxnSpPr>
      <xdr:spPr>
        <a:xfrm>
          <a:off x="5623891" y="1399761"/>
          <a:ext cx="821349" cy="444921"/>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132522</xdr:colOff>
      <xdr:row>7</xdr:row>
      <xdr:rowOff>33130</xdr:rowOff>
    </xdr:from>
    <xdr:to>
      <xdr:col>9</xdr:col>
      <xdr:colOff>357865</xdr:colOff>
      <xdr:row>10</xdr:row>
      <xdr:rowOff>150360</xdr:rowOff>
    </xdr:to>
    <xdr:cxnSp macro="">
      <xdr:nvCxnSpPr>
        <xdr:cNvPr id="42" name="직선 연결선 41">
          <a:extLst>
            <a:ext uri="{FF2B5EF4-FFF2-40B4-BE49-F238E27FC236}">
              <a16:creationId xmlns:a16="http://schemas.microsoft.com/office/drawing/2014/main" id="{00000000-0008-0000-1D00-00002A000000}"/>
            </a:ext>
          </a:extLst>
        </xdr:cNvPr>
        <xdr:cNvCxnSpPr>
          <a:endCxn id="3" idx="5"/>
        </xdr:cNvCxnSpPr>
      </xdr:nvCxnSpPr>
      <xdr:spPr>
        <a:xfrm>
          <a:off x="5632174" y="1482587"/>
          <a:ext cx="912800" cy="738425"/>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107674</xdr:colOff>
      <xdr:row>7</xdr:row>
      <xdr:rowOff>91108</xdr:rowOff>
    </xdr:from>
    <xdr:to>
      <xdr:col>9</xdr:col>
      <xdr:colOff>287437</xdr:colOff>
      <xdr:row>12</xdr:row>
      <xdr:rowOff>163948</xdr:rowOff>
    </xdr:to>
    <xdr:cxnSp macro="">
      <xdr:nvCxnSpPr>
        <xdr:cNvPr id="45" name="직선 연결선 44">
          <a:extLst>
            <a:ext uri="{FF2B5EF4-FFF2-40B4-BE49-F238E27FC236}">
              <a16:creationId xmlns:a16="http://schemas.microsoft.com/office/drawing/2014/main" id="{00000000-0008-0000-1D00-00002D000000}"/>
            </a:ext>
          </a:extLst>
        </xdr:cNvPr>
        <xdr:cNvCxnSpPr>
          <a:endCxn id="5" idx="6"/>
        </xdr:cNvCxnSpPr>
      </xdr:nvCxnSpPr>
      <xdr:spPr>
        <a:xfrm>
          <a:off x="5607326" y="1540565"/>
          <a:ext cx="867220" cy="1133013"/>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7</xdr:col>
      <xdr:colOff>662609</xdr:colOff>
      <xdr:row>7</xdr:row>
      <xdr:rowOff>99391</xdr:rowOff>
    </xdr:from>
    <xdr:to>
      <xdr:col>9</xdr:col>
      <xdr:colOff>398341</xdr:colOff>
      <xdr:row>21</xdr:row>
      <xdr:rowOff>4876</xdr:rowOff>
    </xdr:to>
    <xdr:cxnSp macro="">
      <xdr:nvCxnSpPr>
        <xdr:cNvPr id="48" name="직선 연결선 47">
          <a:extLst>
            <a:ext uri="{FF2B5EF4-FFF2-40B4-BE49-F238E27FC236}">
              <a16:creationId xmlns:a16="http://schemas.microsoft.com/office/drawing/2014/main" id="{00000000-0008-0000-1D00-000030000000}"/>
            </a:ext>
          </a:extLst>
        </xdr:cNvPr>
        <xdr:cNvCxnSpPr>
          <a:endCxn id="4" idx="5"/>
        </xdr:cNvCxnSpPr>
      </xdr:nvCxnSpPr>
      <xdr:spPr>
        <a:xfrm>
          <a:off x="5474805" y="1548848"/>
          <a:ext cx="1110645" cy="2878941"/>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231913</xdr:colOff>
      <xdr:row>6</xdr:row>
      <xdr:rowOff>79867</xdr:rowOff>
    </xdr:from>
    <xdr:to>
      <xdr:col>11</xdr:col>
      <xdr:colOff>157370</xdr:colOff>
      <xdr:row>9</xdr:row>
      <xdr:rowOff>27805</xdr:rowOff>
    </xdr:to>
    <xdr:sp macro="" textlink="">
      <xdr:nvSpPr>
        <xdr:cNvPr id="50" name="타원 49">
          <a:extLst>
            <a:ext uri="{FF2B5EF4-FFF2-40B4-BE49-F238E27FC236}">
              <a16:creationId xmlns:a16="http://schemas.microsoft.com/office/drawing/2014/main" id="{00000000-0008-0000-1D00-000032000000}"/>
            </a:ext>
          </a:extLst>
        </xdr:cNvPr>
        <xdr:cNvSpPr/>
      </xdr:nvSpPr>
      <xdr:spPr>
        <a:xfrm>
          <a:off x="7106478" y="1322258"/>
          <a:ext cx="612914" cy="5691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157370</xdr:colOff>
      <xdr:row>7</xdr:row>
      <xdr:rowOff>157368</xdr:rowOff>
    </xdr:from>
    <xdr:to>
      <xdr:col>12</xdr:col>
      <xdr:colOff>533176</xdr:colOff>
      <xdr:row>14</xdr:row>
      <xdr:rowOff>180099</xdr:rowOff>
    </xdr:to>
    <xdr:cxnSp macro="">
      <xdr:nvCxnSpPr>
        <xdr:cNvPr id="52" name="직선 연결선 51">
          <a:extLst>
            <a:ext uri="{FF2B5EF4-FFF2-40B4-BE49-F238E27FC236}">
              <a16:creationId xmlns:a16="http://schemas.microsoft.com/office/drawing/2014/main" id="{00000000-0008-0000-1D00-000034000000}"/>
            </a:ext>
          </a:extLst>
        </xdr:cNvPr>
        <xdr:cNvCxnSpPr>
          <a:stCxn id="50" idx="6"/>
          <a:endCxn id="8" idx="2"/>
        </xdr:cNvCxnSpPr>
      </xdr:nvCxnSpPr>
      <xdr:spPr>
        <a:xfrm>
          <a:off x="7719392" y="1606825"/>
          <a:ext cx="1063262" cy="1521883"/>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editAs="oneCell">
    <xdr:from>
      <xdr:col>1</xdr:col>
      <xdr:colOff>0</xdr:colOff>
      <xdr:row>70</xdr:row>
      <xdr:rowOff>0</xdr:rowOff>
    </xdr:from>
    <xdr:to>
      <xdr:col>11</xdr:col>
      <xdr:colOff>135068</xdr:colOff>
      <xdr:row>96</xdr:row>
      <xdr:rowOff>200824</xdr:rowOff>
    </xdr:to>
    <xdr:pic>
      <xdr:nvPicPr>
        <xdr:cNvPr id="53" name="그림 52">
          <a:extLst>
            <a:ext uri="{FF2B5EF4-FFF2-40B4-BE49-F238E27FC236}">
              <a16:creationId xmlns:a16="http://schemas.microsoft.com/office/drawing/2014/main" id="{00000000-0008-0000-1D00-000035000000}"/>
            </a:ext>
          </a:extLst>
        </xdr:cNvPr>
        <xdr:cNvPicPr>
          <a:picLocks noChangeAspect="1"/>
        </xdr:cNvPicPr>
      </xdr:nvPicPr>
      <xdr:blipFill>
        <a:blip xmlns:r="http://schemas.openxmlformats.org/officeDocument/2006/relationships" r:embed="rId5"/>
        <a:stretch>
          <a:fillRect/>
        </a:stretch>
      </xdr:blipFill>
      <xdr:spPr>
        <a:xfrm>
          <a:off x="688731" y="14917615"/>
          <a:ext cx="7059010" cy="5725324"/>
        </a:xfrm>
        <a:prstGeom prst="rect">
          <a:avLst/>
        </a:prstGeom>
      </xdr:spPr>
    </xdr:pic>
    <xdr:clientData/>
  </xdr:twoCellAnchor>
  <xdr:twoCellAnchor editAs="oneCell">
    <xdr:from>
      <xdr:col>1</xdr:col>
      <xdr:colOff>0</xdr:colOff>
      <xdr:row>97</xdr:row>
      <xdr:rowOff>0</xdr:rowOff>
    </xdr:from>
    <xdr:to>
      <xdr:col>11</xdr:col>
      <xdr:colOff>106489</xdr:colOff>
      <xdr:row>119</xdr:row>
      <xdr:rowOff>50482</xdr:rowOff>
    </xdr:to>
    <xdr:pic>
      <xdr:nvPicPr>
        <xdr:cNvPr id="54" name="그림 53">
          <a:extLst>
            <a:ext uri="{FF2B5EF4-FFF2-40B4-BE49-F238E27FC236}">
              <a16:creationId xmlns:a16="http://schemas.microsoft.com/office/drawing/2014/main" id="{00000000-0008-0000-1D00-000036000000}"/>
            </a:ext>
          </a:extLst>
        </xdr:cNvPr>
        <xdr:cNvPicPr>
          <a:picLocks noChangeAspect="1"/>
        </xdr:cNvPicPr>
      </xdr:nvPicPr>
      <xdr:blipFill>
        <a:blip xmlns:r="http://schemas.openxmlformats.org/officeDocument/2006/relationships" r:embed="rId6"/>
        <a:stretch>
          <a:fillRect/>
        </a:stretch>
      </xdr:blipFill>
      <xdr:spPr>
        <a:xfrm>
          <a:off x="688731" y="20654596"/>
          <a:ext cx="7030431" cy="4725059"/>
        </a:xfrm>
        <a:prstGeom prst="rect">
          <a:avLst/>
        </a:prstGeom>
      </xdr:spPr>
    </xdr:pic>
    <xdr:clientData/>
  </xdr:twoCellAnchor>
  <xdr:twoCellAnchor editAs="oneCell">
    <xdr:from>
      <xdr:col>0</xdr:col>
      <xdr:colOff>0</xdr:colOff>
      <xdr:row>128</xdr:row>
      <xdr:rowOff>99391</xdr:rowOff>
    </xdr:from>
    <xdr:to>
      <xdr:col>20</xdr:col>
      <xdr:colOff>145233</xdr:colOff>
      <xdr:row>142</xdr:row>
      <xdr:rowOff>1219</xdr:rowOff>
    </xdr:to>
    <xdr:pic>
      <xdr:nvPicPr>
        <xdr:cNvPr id="12" name="그림 11">
          <a:extLst>
            <a:ext uri="{FF2B5EF4-FFF2-40B4-BE49-F238E27FC236}">
              <a16:creationId xmlns:a16="http://schemas.microsoft.com/office/drawing/2014/main" id="{00000000-0008-0000-1D00-00000C000000}"/>
            </a:ext>
          </a:extLst>
        </xdr:cNvPr>
        <xdr:cNvPicPr>
          <a:picLocks noChangeAspect="1"/>
        </xdr:cNvPicPr>
      </xdr:nvPicPr>
      <xdr:blipFill>
        <a:blip xmlns:r="http://schemas.openxmlformats.org/officeDocument/2006/relationships" r:embed="rId7"/>
        <a:stretch>
          <a:fillRect/>
        </a:stretch>
      </xdr:blipFill>
      <xdr:spPr>
        <a:xfrm>
          <a:off x="0" y="26984739"/>
          <a:ext cx="13927494" cy="2800741"/>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9</xdr:col>
      <xdr:colOff>249115</xdr:colOff>
      <xdr:row>8</xdr:row>
      <xdr:rowOff>124558</xdr:rowOff>
    </xdr:from>
    <xdr:to>
      <xdr:col>9</xdr:col>
      <xdr:colOff>468923</xdr:colOff>
      <xdr:row>9</xdr:row>
      <xdr:rowOff>131885</xdr:rowOff>
    </xdr:to>
    <xdr:sp macro="" textlink="">
      <xdr:nvSpPr>
        <xdr:cNvPr id="2" name="타원 1">
          <a:extLst>
            <a:ext uri="{FF2B5EF4-FFF2-40B4-BE49-F238E27FC236}">
              <a16:creationId xmlns:a16="http://schemas.microsoft.com/office/drawing/2014/main" id="{00000000-0008-0000-1E00-000002000000}"/>
            </a:ext>
          </a:extLst>
        </xdr:cNvPr>
        <xdr:cNvSpPr/>
      </xdr:nvSpPr>
      <xdr:spPr>
        <a:xfrm rot="12202146">
          <a:off x="6459415" y="180095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10</xdr:row>
      <xdr:rowOff>139211</xdr:rowOff>
    </xdr:from>
    <xdr:to>
      <xdr:col>9</xdr:col>
      <xdr:colOff>505557</xdr:colOff>
      <xdr:row>11</xdr:row>
      <xdr:rowOff>146539</xdr:rowOff>
    </xdr:to>
    <xdr:sp macro="" textlink="">
      <xdr:nvSpPr>
        <xdr:cNvPr id="3" name="타원 2">
          <a:extLst>
            <a:ext uri="{FF2B5EF4-FFF2-40B4-BE49-F238E27FC236}">
              <a16:creationId xmlns:a16="http://schemas.microsoft.com/office/drawing/2014/main" id="{00000000-0008-0000-1E00-000003000000}"/>
            </a:ext>
          </a:extLst>
        </xdr:cNvPr>
        <xdr:cNvSpPr/>
      </xdr:nvSpPr>
      <xdr:spPr>
        <a:xfrm rot="12202146">
          <a:off x="6496049" y="22347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20</xdr:row>
      <xdr:rowOff>205152</xdr:rowOff>
    </xdr:from>
    <xdr:to>
      <xdr:col>9</xdr:col>
      <xdr:colOff>549518</xdr:colOff>
      <xdr:row>21</xdr:row>
      <xdr:rowOff>212479</xdr:rowOff>
    </xdr:to>
    <xdr:sp macro="" textlink="">
      <xdr:nvSpPr>
        <xdr:cNvPr id="4" name="타원 3">
          <a:extLst>
            <a:ext uri="{FF2B5EF4-FFF2-40B4-BE49-F238E27FC236}">
              <a16:creationId xmlns:a16="http://schemas.microsoft.com/office/drawing/2014/main" id="{00000000-0008-0000-1E00-000004000000}"/>
            </a:ext>
          </a:extLst>
        </xdr:cNvPr>
        <xdr:cNvSpPr/>
      </xdr:nvSpPr>
      <xdr:spPr>
        <a:xfrm rot="12202146">
          <a:off x="6540010" y="4434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12</xdr:row>
      <xdr:rowOff>87922</xdr:rowOff>
    </xdr:from>
    <xdr:to>
      <xdr:col>9</xdr:col>
      <xdr:colOff>498229</xdr:colOff>
      <xdr:row>13</xdr:row>
      <xdr:rowOff>95249</xdr:rowOff>
    </xdr:to>
    <xdr:sp macro="" textlink="">
      <xdr:nvSpPr>
        <xdr:cNvPr id="5" name="타원 4">
          <a:extLst>
            <a:ext uri="{FF2B5EF4-FFF2-40B4-BE49-F238E27FC236}">
              <a16:creationId xmlns:a16="http://schemas.microsoft.com/office/drawing/2014/main" id="{00000000-0008-0000-1E00-000005000000}"/>
            </a:ext>
          </a:extLst>
        </xdr:cNvPr>
        <xdr:cNvSpPr/>
      </xdr:nvSpPr>
      <xdr:spPr>
        <a:xfrm rot="12202146">
          <a:off x="6488721" y="26215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15</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E00-000006000000}"/>
                </a:ext>
              </a:extLst>
            </xdr:cNvPr>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7</xdr:col>
      <xdr:colOff>165589</xdr:colOff>
      <xdr:row>13</xdr:row>
      <xdr:rowOff>205885</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1E00-000007000000}"/>
                </a:ext>
              </a:extLst>
            </xdr:cNvPr>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15</xdr:col>
      <xdr:colOff>322384</xdr:colOff>
      <xdr:row>14</xdr:row>
      <xdr:rowOff>29309</xdr:rowOff>
    </xdr:from>
    <xdr:to>
      <xdr:col>15</xdr:col>
      <xdr:colOff>542192</xdr:colOff>
      <xdr:row>15</xdr:row>
      <xdr:rowOff>36636</xdr:rowOff>
    </xdr:to>
    <xdr:sp macro="" textlink="">
      <xdr:nvSpPr>
        <xdr:cNvPr id="8" name="타원 7">
          <a:extLst>
            <a:ext uri="{FF2B5EF4-FFF2-40B4-BE49-F238E27FC236}">
              <a16:creationId xmlns:a16="http://schemas.microsoft.com/office/drawing/2014/main" id="{00000000-0008-0000-1E00-000008000000}"/>
            </a:ext>
          </a:extLst>
        </xdr:cNvPr>
        <xdr:cNvSpPr/>
      </xdr:nvSpPr>
      <xdr:spPr>
        <a:xfrm rot="12202146">
          <a:off x="9275884" y="3001109"/>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119606</xdr:colOff>
      <xdr:row>17</xdr:row>
      <xdr:rowOff>94212</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1E00-000009000000}"/>
                </a:ext>
              </a:extLst>
            </xdr:cNvPr>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7</xdr:col>
      <xdr:colOff>157369</xdr:colOff>
      <xdr:row>4</xdr:row>
      <xdr:rowOff>204106</xdr:rowOff>
    </xdr:from>
    <xdr:to>
      <xdr:col>8</xdr:col>
      <xdr:colOff>82827</xdr:colOff>
      <xdr:row>7</xdr:row>
      <xdr:rowOff>152044</xdr:rowOff>
    </xdr:to>
    <xdr:sp macro="" textlink="">
      <xdr:nvSpPr>
        <xdr:cNvPr id="10" name="타원 9">
          <a:extLst>
            <a:ext uri="{FF2B5EF4-FFF2-40B4-BE49-F238E27FC236}">
              <a16:creationId xmlns:a16="http://schemas.microsoft.com/office/drawing/2014/main" id="{00000000-0008-0000-1E00-00000A000000}"/>
            </a:ext>
          </a:extLst>
        </xdr:cNvPr>
        <xdr:cNvSpPr/>
      </xdr:nvSpPr>
      <xdr:spPr>
        <a:xfrm>
          <a:off x="4996069" y="104230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6</xdr:row>
      <xdr:rowOff>79867</xdr:rowOff>
    </xdr:from>
    <xdr:to>
      <xdr:col>11</xdr:col>
      <xdr:colOff>157369</xdr:colOff>
      <xdr:row>9</xdr:row>
      <xdr:rowOff>91109</xdr:rowOff>
    </xdr:to>
    <xdr:sp macro="" textlink="">
      <xdr:nvSpPr>
        <xdr:cNvPr id="11" name="타원 10">
          <a:extLst>
            <a:ext uri="{FF2B5EF4-FFF2-40B4-BE49-F238E27FC236}">
              <a16:creationId xmlns:a16="http://schemas.microsoft.com/office/drawing/2014/main" id="{00000000-0008-0000-1E00-00000B000000}"/>
            </a:ext>
          </a:extLst>
        </xdr:cNvPr>
        <xdr:cNvSpPr/>
      </xdr:nvSpPr>
      <xdr:spPr>
        <a:xfrm>
          <a:off x="7128012" y="1337167"/>
          <a:ext cx="611257" cy="63989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10</xdr:row>
      <xdr:rowOff>124558</xdr:rowOff>
    </xdr:from>
    <xdr:to>
      <xdr:col>11</xdr:col>
      <xdr:colOff>468923</xdr:colOff>
      <xdr:row>11</xdr:row>
      <xdr:rowOff>131885</xdr:rowOff>
    </xdr:to>
    <xdr:sp macro="" textlink="">
      <xdr:nvSpPr>
        <xdr:cNvPr id="12" name="타원 11">
          <a:extLst>
            <a:ext uri="{FF2B5EF4-FFF2-40B4-BE49-F238E27FC236}">
              <a16:creationId xmlns:a16="http://schemas.microsoft.com/office/drawing/2014/main" id="{00000000-0008-0000-1E00-00000C000000}"/>
            </a:ext>
          </a:extLst>
        </xdr:cNvPr>
        <xdr:cNvSpPr/>
      </xdr:nvSpPr>
      <xdr:spPr>
        <a:xfrm rot="12202146">
          <a:off x="7831015" y="222005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12</xdr:row>
      <xdr:rowOff>139211</xdr:rowOff>
    </xdr:from>
    <xdr:to>
      <xdr:col>11</xdr:col>
      <xdr:colOff>505557</xdr:colOff>
      <xdr:row>13</xdr:row>
      <xdr:rowOff>146539</xdr:rowOff>
    </xdr:to>
    <xdr:sp macro="" textlink="">
      <xdr:nvSpPr>
        <xdr:cNvPr id="13" name="타원 12">
          <a:extLst>
            <a:ext uri="{FF2B5EF4-FFF2-40B4-BE49-F238E27FC236}">
              <a16:creationId xmlns:a16="http://schemas.microsoft.com/office/drawing/2014/main" id="{00000000-0008-0000-1E00-00000D000000}"/>
            </a:ext>
          </a:extLst>
        </xdr:cNvPr>
        <xdr:cNvSpPr/>
      </xdr:nvSpPr>
      <xdr:spPr>
        <a:xfrm rot="12202146">
          <a:off x="7867649" y="26728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14</xdr:row>
      <xdr:rowOff>87922</xdr:rowOff>
    </xdr:from>
    <xdr:to>
      <xdr:col>11</xdr:col>
      <xdr:colOff>498229</xdr:colOff>
      <xdr:row>15</xdr:row>
      <xdr:rowOff>95249</xdr:rowOff>
    </xdr:to>
    <xdr:sp macro="" textlink="">
      <xdr:nvSpPr>
        <xdr:cNvPr id="14" name="타원 13">
          <a:extLst>
            <a:ext uri="{FF2B5EF4-FFF2-40B4-BE49-F238E27FC236}">
              <a16:creationId xmlns:a16="http://schemas.microsoft.com/office/drawing/2014/main" id="{00000000-0008-0000-1E00-00000E000000}"/>
            </a:ext>
          </a:extLst>
        </xdr:cNvPr>
        <xdr:cNvSpPr/>
      </xdr:nvSpPr>
      <xdr:spPr>
        <a:xfrm rot="12202146">
          <a:off x="7860321" y="30597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15</xdr:row>
      <xdr:rowOff>134845</xdr:rowOff>
    </xdr:from>
    <xdr:ext cx="330283" cy="75142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0000000-0008-0000-1E00-00000F000000}"/>
                </a:ext>
              </a:extLst>
            </xdr:cNvPr>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5" name="TextBox 14"/>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18</xdr:row>
      <xdr:rowOff>162465</xdr:rowOff>
    </xdr:from>
    <xdr:to>
      <xdr:col>11</xdr:col>
      <xdr:colOff>539641</xdr:colOff>
      <xdr:row>19</xdr:row>
      <xdr:rowOff>169792</xdr:rowOff>
    </xdr:to>
    <xdr:sp macro="" textlink="">
      <xdr:nvSpPr>
        <xdr:cNvPr id="16" name="타원 15">
          <a:extLst>
            <a:ext uri="{FF2B5EF4-FFF2-40B4-BE49-F238E27FC236}">
              <a16:creationId xmlns:a16="http://schemas.microsoft.com/office/drawing/2014/main" id="{00000000-0008-0000-1E00-000010000000}"/>
            </a:ext>
          </a:extLst>
        </xdr:cNvPr>
        <xdr:cNvSpPr/>
      </xdr:nvSpPr>
      <xdr:spPr>
        <a:xfrm rot="12202146">
          <a:off x="7901733" y="3972465"/>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676603</xdr:colOff>
      <xdr:row>8</xdr:row>
      <xdr:rowOff>105104</xdr:rowOff>
    </xdr:from>
    <xdr:to>
      <xdr:col>15</xdr:col>
      <xdr:colOff>642329</xdr:colOff>
      <xdr:row>11</xdr:row>
      <xdr:rowOff>31418</xdr:rowOff>
    </xdr:to>
    <xdr:sp macro="" textlink="">
      <xdr:nvSpPr>
        <xdr:cNvPr id="17" name="타원 16">
          <a:extLst>
            <a:ext uri="{FF2B5EF4-FFF2-40B4-BE49-F238E27FC236}">
              <a16:creationId xmlns:a16="http://schemas.microsoft.com/office/drawing/2014/main" id="{00000000-0008-0000-1E00-000011000000}"/>
            </a:ext>
          </a:extLst>
        </xdr:cNvPr>
        <xdr:cNvSpPr/>
      </xdr:nvSpPr>
      <xdr:spPr>
        <a:xfrm>
          <a:off x="10280431" y="1786759"/>
          <a:ext cx="648898" cy="57664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bias4</a:t>
          </a:r>
          <a:endParaRPr lang="ko-KR" altLang="en-US" sz="900">
            <a:solidFill>
              <a:srgbClr val="FF0000"/>
            </a:solidFill>
          </a:endParaRPr>
        </a:p>
      </xdr:txBody>
    </xdr:sp>
    <xdr:clientData/>
  </xdr:twoCellAnchor>
  <xdr:twoCellAnchor>
    <xdr:from>
      <xdr:col>13</xdr:col>
      <xdr:colOff>249115</xdr:colOff>
      <xdr:row>10</xdr:row>
      <xdr:rowOff>124558</xdr:rowOff>
    </xdr:from>
    <xdr:to>
      <xdr:col>13</xdr:col>
      <xdr:colOff>468923</xdr:colOff>
      <xdr:row>11</xdr:row>
      <xdr:rowOff>131885</xdr:rowOff>
    </xdr:to>
    <xdr:sp macro="" textlink="">
      <xdr:nvSpPr>
        <xdr:cNvPr id="18" name="타원 17">
          <a:extLst>
            <a:ext uri="{FF2B5EF4-FFF2-40B4-BE49-F238E27FC236}">
              <a16:creationId xmlns:a16="http://schemas.microsoft.com/office/drawing/2014/main" id="{00000000-0008-0000-1E00-000012000000}"/>
            </a:ext>
          </a:extLst>
        </xdr:cNvPr>
        <xdr:cNvSpPr/>
      </xdr:nvSpPr>
      <xdr:spPr>
        <a:xfrm rot="12202146">
          <a:off x="7803425" y="2226627"/>
          <a:ext cx="219808" cy="237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12</xdr:row>
      <xdr:rowOff>139211</xdr:rowOff>
    </xdr:from>
    <xdr:to>
      <xdr:col>13</xdr:col>
      <xdr:colOff>505557</xdr:colOff>
      <xdr:row>13</xdr:row>
      <xdr:rowOff>146539</xdr:rowOff>
    </xdr:to>
    <xdr:sp macro="" textlink="">
      <xdr:nvSpPr>
        <xdr:cNvPr id="19" name="타원 18">
          <a:extLst>
            <a:ext uri="{FF2B5EF4-FFF2-40B4-BE49-F238E27FC236}">
              <a16:creationId xmlns:a16="http://schemas.microsoft.com/office/drawing/2014/main" id="{00000000-0008-0000-1E00-000013000000}"/>
            </a:ext>
          </a:extLst>
        </xdr:cNvPr>
        <xdr:cNvSpPr/>
      </xdr:nvSpPr>
      <xdr:spPr>
        <a:xfrm rot="12202146">
          <a:off x="7840059" y="2681401"/>
          <a:ext cx="219808" cy="237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278421</xdr:colOff>
      <xdr:row>14</xdr:row>
      <xdr:rowOff>87922</xdr:rowOff>
    </xdr:from>
    <xdr:to>
      <xdr:col>13</xdr:col>
      <xdr:colOff>498229</xdr:colOff>
      <xdr:row>15</xdr:row>
      <xdr:rowOff>95249</xdr:rowOff>
    </xdr:to>
    <xdr:sp macro="" textlink="">
      <xdr:nvSpPr>
        <xdr:cNvPr id="20" name="타원 19">
          <a:extLst>
            <a:ext uri="{FF2B5EF4-FFF2-40B4-BE49-F238E27FC236}">
              <a16:creationId xmlns:a16="http://schemas.microsoft.com/office/drawing/2014/main" id="{00000000-0008-0000-1E00-000014000000}"/>
            </a:ext>
          </a:extLst>
        </xdr:cNvPr>
        <xdr:cNvSpPr/>
      </xdr:nvSpPr>
      <xdr:spPr>
        <a:xfrm rot="12202146">
          <a:off x="7832731" y="3070232"/>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13</xdr:col>
      <xdr:colOff>240769</xdr:colOff>
      <xdr:row>15</xdr:row>
      <xdr:rowOff>134845</xdr:rowOff>
    </xdr:from>
    <xdr:ext cx="330283" cy="751424"/>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1E00-000015000000}"/>
                </a:ext>
              </a:extLst>
            </xdr:cNvPr>
            <xdr:cNvSpPr txBox="1"/>
          </xdr:nvSpPr>
          <xdr:spPr>
            <a:xfrm>
              <a:off x="7795079" y="33273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1" name="TextBox 20"/>
            <xdr:cNvSpPr txBox="1"/>
          </xdr:nvSpPr>
          <xdr:spPr>
            <a:xfrm>
              <a:off x="7795079" y="33273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319833</xdr:colOff>
      <xdr:row>18</xdr:row>
      <xdr:rowOff>162465</xdr:rowOff>
    </xdr:from>
    <xdr:to>
      <xdr:col>13</xdr:col>
      <xdr:colOff>539641</xdr:colOff>
      <xdr:row>19</xdr:row>
      <xdr:rowOff>169792</xdr:rowOff>
    </xdr:to>
    <xdr:sp macro="" textlink="">
      <xdr:nvSpPr>
        <xdr:cNvPr id="22" name="타원 21">
          <a:extLst>
            <a:ext uri="{FF2B5EF4-FFF2-40B4-BE49-F238E27FC236}">
              <a16:creationId xmlns:a16="http://schemas.microsoft.com/office/drawing/2014/main" id="{00000000-0008-0000-1E00-000016000000}"/>
            </a:ext>
          </a:extLst>
        </xdr:cNvPr>
        <xdr:cNvSpPr/>
      </xdr:nvSpPr>
      <xdr:spPr>
        <a:xfrm rot="12202146">
          <a:off x="7874143" y="3985603"/>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348155</xdr:colOff>
      <xdr:row>6</xdr:row>
      <xdr:rowOff>19708</xdr:rowOff>
    </xdr:from>
    <xdr:to>
      <xdr:col>13</xdr:col>
      <xdr:colOff>313881</xdr:colOff>
      <xdr:row>8</xdr:row>
      <xdr:rowOff>175936</xdr:rowOff>
    </xdr:to>
    <xdr:sp macro="" textlink="">
      <xdr:nvSpPr>
        <xdr:cNvPr id="23" name="타원 22">
          <a:extLst>
            <a:ext uri="{FF2B5EF4-FFF2-40B4-BE49-F238E27FC236}">
              <a16:creationId xmlns:a16="http://schemas.microsoft.com/office/drawing/2014/main" id="{00000000-0008-0000-1E00-000017000000}"/>
            </a:ext>
          </a:extLst>
        </xdr:cNvPr>
        <xdr:cNvSpPr/>
      </xdr:nvSpPr>
      <xdr:spPr>
        <a:xfrm>
          <a:off x="8585638" y="1280949"/>
          <a:ext cx="648898" cy="57664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9</xdr:col>
      <xdr:colOff>249115</xdr:colOff>
      <xdr:row>8</xdr:row>
      <xdr:rowOff>124558</xdr:rowOff>
    </xdr:from>
    <xdr:to>
      <xdr:col>9</xdr:col>
      <xdr:colOff>468923</xdr:colOff>
      <xdr:row>9</xdr:row>
      <xdr:rowOff>131885</xdr:rowOff>
    </xdr:to>
    <xdr:sp macro="" textlink="">
      <xdr:nvSpPr>
        <xdr:cNvPr id="2" name="타원 1">
          <a:extLst>
            <a:ext uri="{FF2B5EF4-FFF2-40B4-BE49-F238E27FC236}">
              <a16:creationId xmlns:a16="http://schemas.microsoft.com/office/drawing/2014/main" id="{00000000-0008-0000-1F00-000002000000}"/>
            </a:ext>
          </a:extLst>
        </xdr:cNvPr>
        <xdr:cNvSpPr/>
      </xdr:nvSpPr>
      <xdr:spPr>
        <a:xfrm rot="12202146">
          <a:off x="6459415" y="180095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10</xdr:row>
      <xdr:rowOff>139211</xdr:rowOff>
    </xdr:from>
    <xdr:to>
      <xdr:col>9</xdr:col>
      <xdr:colOff>505557</xdr:colOff>
      <xdr:row>11</xdr:row>
      <xdr:rowOff>146539</xdr:rowOff>
    </xdr:to>
    <xdr:sp macro="" textlink="">
      <xdr:nvSpPr>
        <xdr:cNvPr id="3" name="타원 2">
          <a:extLst>
            <a:ext uri="{FF2B5EF4-FFF2-40B4-BE49-F238E27FC236}">
              <a16:creationId xmlns:a16="http://schemas.microsoft.com/office/drawing/2014/main" id="{00000000-0008-0000-1F00-000003000000}"/>
            </a:ext>
          </a:extLst>
        </xdr:cNvPr>
        <xdr:cNvSpPr/>
      </xdr:nvSpPr>
      <xdr:spPr>
        <a:xfrm rot="12202146">
          <a:off x="6496049" y="22347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20</xdr:row>
      <xdr:rowOff>205152</xdr:rowOff>
    </xdr:from>
    <xdr:to>
      <xdr:col>9</xdr:col>
      <xdr:colOff>549518</xdr:colOff>
      <xdr:row>21</xdr:row>
      <xdr:rowOff>212479</xdr:rowOff>
    </xdr:to>
    <xdr:sp macro="" textlink="">
      <xdr:nvSpPr>
        <xdr:cNvPr id="4" name="타원 3">
          <a:extLst>
            <a:ext uri="{FF2B5EF4-FFF2-40B4-BE49-F238E27FC236}">
              <a16:creationId xmlns:a16="http://schemas.microsoft.com/office/drawing/2014/main" id="{00000000-0008-0000-1F00-000004000000}"/>
            </a:ext>
          </a:extLst>
        </xdr:cNvPr>
        <xdr:cNvSpPr/>
      </xdr:nvSpPr>
      <xdr:spPr>
        <a:xfrm rot="12202146">
          <a:off x="6540010" y="44533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12</xdr:row>
      <xdr:rowOff>87922</xdr:rowOff>
    </xdr:from>
    <xdr:to>
      <xdr:col>9</xdr:col>
      <xdr:colOff>498229</xdr:colOff>
      <xdr:row>13</xdr:row>
      <xdr:rowOff>95249</xdr:rowOff>
    </xdr:to>
    <xdr:sp macro="" textlink="">
      <xdr:nvSpPr>
        <xdr:cNvPr id="5" name="타원 4">
          <a:extLst>
            <a:ext uri="{FF2B5EF4-FFF2-40B4-BE49-F238E27FC236}">
              <a16:creationId xmlns:a16="http://schemas.microsoft.com/office/drawing/2014/main" id="{00000000-0008-0000-1F00-000005000000}"/>
            </a:ext>
          </a:extLst>
        </xdr:cNvPr>
        <xdr:cNvSpPr/>
      </xdr:nvSpPr>
      <xdr:spPr>
        <a:xfrm rot="12202146">
          <a:off x="6488721" y="26215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15</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F00-000006000000}"/>
                </a:ext>
              </a:extLst>
            </xdr:cNvPr>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7</xdr:col>
      <xdr:colOff>165589</xdr:colOff>
      <xdr:row>13</xdr:row>
      <xdr:rowOff>205885</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1F00-000007000000}"/>
                </a:ext>
              </a:extLst>
            </xdr:cNvPr>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322384</xdr:colOff>
      <xdr:row>14</xdr:row>
      <xdr:rowOff>29309</xdr:rowOff>
    </xdr:from>
    <xdr:to>
      <xdr:col>13</xdr:col>
      <xdr:colOff>542192</xdr:colOff>
      <xdr:row>15</xdr:row>
      <xdr:rowOff>36636</xdr:rowOff>
    </xdr:to>
    <xdr:sp macro="" textlink="">
      <xdr:nvSpPr>
        <xdr:cNvPr id="8" name="타원 7">
          <a:extLst>
            <a:ext uri="{FF2B5EF4-FFF2-40B4-BE49-F238E27FC236}">
              <a16:creationId xmlns:a16="http://schemas.microsoft.com/office/drawing/2014/main" id="{00000000-0008-0000-1F00-000008000000}"/>
            </a:ext>
          </a:extLst>
        </xdr:cNvPr>
        <xdr:cNvSpPr/>
      </xdr:nvSpPr>
      <xdr:spPr>
        <a:xfrm rot="12202146">
          <a:off x="8590084" y="3001109"/>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119606</xdr:colOff>
      <xdr:row>17</xdr:row>
      <xdr:rowOff>94212</xdr:rowOff>
    </xdr:from>
    <xdr:ext cx="330283" cy="751424"/>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00000000-0008-0000-1F00-000013000000}"/>
                </a:ext>
              </a:extLst>
            </xdr:cNvPr>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9" name="TextBox 18"/>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7</xdr:col>
      <xdr:colOff>157369</xdr:colOff>
      <xdr:row>4</xdr:row>
      <xdr:rowOff>204106</xdr:rowOff>
    </xdr:from>
    <xdr:to>
      <xdr:col>8</xdr:col>
      <xdr:colOff>82827</xdr:colOff>
      <xdr:row>7</xdr:row>
      <xdr:rowOff>152044</xdr:rowOff>
    </xdr:to>
    <xdr:sp macro="" textlink="">
      <xdr:nvSpPr>
        <xdr:cNvPr id="23" name="타원 22">
          <a:extLst>
            <a:ext uri="{FF2B5EF4-FFF2-40B4-BE49-F238E27FC236}">
              <a16:creationId xmlns:a16="http://schemas.microsoft.com/office/drawing/2014/main" id="{00000000-0008-0000-1F00-000017000000}"/>
            </a:ext>
          </a:extLst>
        </xdr:cNvPr>
        <xdr:cNvSpPr/>
      </xdr:nvSpPr>
      <xdr:spPr>
        <a:xfrm>
          <a:off x="4996069" y="104230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6</xdr:row>
      <xdr:rowOff>79867</xdr:rowOff>
    </xdr:from>
    <xdr:to>
      <xdr:col>11</xdr:col>
      <xdr:colOff>157369</xdr:colOff>
      <xdr:row>9</xdr:row>
      <xdr:rowOff>91109</xdr:rowOff>
    </xdr:to>
    <xdr:sp macro="" textlink="">
      <xdr:nvSpPr>
        <xdr:cNvPr id="28" name="타원 27">
          <a:extLst>
            <a:ext uri="{FF2B5EF4-FFF2-40B4-BE49-F238E27FC236}">
              <a16:creationId xmlns:a16="http://schemas.microsoft.com/office/drawing/2014/main" id="{00000000-0008-0000-1F00-00001C000000}"/>
            </a:ext>
          </a:extLst>
        </xdr:cNvPr>
        <xdr:cNvSpPr/>
      </xdr:nvSpPr>
      <xdr:spPr>
        <a:xfrm>
          <a:off x="7139608" y="1322258"/>
          <a:ext cx="612913" cy="63243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10</xdr:row>
      <xdr:rowOff>124558</xdr:rowOff>
    </xdr:from>
    <xdr:to>
      <xdr:col>11</xdr:col>
      <xdr:colOff>468923</xdr:colOff>
      <xdr:row>11</xdr:row>
      <xdr:rowOff>131885</xdr:rowOff>
    </xdr:to>
    <xdr:sp macro="" textlink="">
      <xdr:nvSpPr>
        <xdr:cNvPr id="42" name="타원 41">
          <a:extLst>
            <a:ext uri="{FF2B5EF4-FFF2-40B4-BE49-F238E27FC236}">
              <a16:creationId xmlns:a16="http://schemas.microsoft.com/office/drawing/2014/main" id="{00000000-0008-0000-1F00-00002A000000}"/>
            </a:ext>
          </a:extLst>
        </xdr:cNvPr>
        <xdr:cNvSpPr/>
      </xdr:nvSpPr>
      <xdr:spPr>
        <a:xfrm rot="12202146">
          <a:off x="6469354" y="1781080"/>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12</xdr:row>
      <xdr:rowOff>139211</xdr:rowOff>
    </xdr:from>
    <xdr:to>
      <xdr:col>11</xdr:col>
      <xdr:colOff>505557</xdr:colOff>
      <xdr:row>13</xdr:row>
      <xdr:rowOff>146539</xdr:rowOff>
    </xdr:to>
    <xdr:sp macro="" textlink="">
      <xdr:nvSpPr>
        <xdr:cNvPr id="43" name="타원 42">
          <a:extLst>
            <a:ext uri="{FF2B5EF4-FFF2-40B4-BE49-F238E27FC236}">
              <a16:creationId xmlns:a16="http://schemas.microsoft.com/office/drawing/2014/main" id="{00000000-0008-0000-1F00-00002B000000}"/>
            </a:ext>
          </a:extLst>
        </xdr:cNvPr>
        <xdr:cNvSpPr/>
      </xdr:nvSpPr>
      <xdr:spPr>
        <a:xfrm rot="12202146">
          <a:off x="6505988" y="2209863"/>
          <a:ext cx="219808" cy="239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14</xdr:row>
      <xdr:rowOff>87922</xdr:rowOff>
    </xdr:from>
    <xdr:to>
      <xdr:col>11</xdr:col>
      <xdr:colOff>498229</xdr:colOff>
      <xdr:row>15</xdr:row>
      <xdr:rowOff>95249</xdr:rowOff>
    </xdr:to>
    <xdr:sp macro="" textlink="">
      <xdr:nvSpPr>
        <xdr:cNvPr id="44" name="타원 43">
          <a:extLst>
            <a:ext uri="{FF2B5EF4-FFF2-40B4-BE49-F238E27FC236}">
              <a16:creationId xmlns:a16="http://schemas.microsoft.com/office/drawing/2014/main" id="{00000000-0008-0000-1F00-00002C000000}"/>
            </a:ext>
          </a:extLst>
        </xdr:cNvPr>
        <xdr:cNvSpPr/>
      </xdr:nvSpPr>
      <xdr:spPr>
        <a:xfrm rot="12202146">
          <a:off x="6498660" y="2597552"/>
          <a:ext cx="219808" cy="23924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15</xdr:row>
      <xdr:rowOff>134845</xdr:rowOff>
    </xdr:from>
    <xdr:ext cx="330283" cy="751424"/>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00000000-0008-0000-1F00-00002D000000}"/>
                </a:ext>
              </a:extLst>
            </xdr:cNvPr>
            <xdr:cNvSpPr txBox="1"/>
          </xdr:nvSpPr>
          <xdr:spPr>
            <a:xfrm>
              <a:off x="7835921" y="329051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45" name="TextBox 44"/>
            <xdr:cNvSpPr txBox="1"/>
          </xdr:nvSpPr>
          <xdr:spPr>
            <a:xfrm>
              <a:off x="7835921" y="329051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18</xdr:row>
      <xdr:rowOff>162465</xdr:rowOff>
    </xdr:from>
    <xdr:to>
      <xdr:col>11</xdr:col>
      <xdr:colOff>539641</xdr:colOff>
      <xdr:row>19</xdr:row>
      <xdr:rowOff>169792</xdr:rowOff>
    </xdr:to>
    <xdr:sp macro="" textlink="">
      <xdr:nvSpPr>
        <xdr:cNvPr id="51" name="타원 50">
          <a:extLst>
            <a:ext uri="{FF2B5EF4-FFF2-40B4-BE49-F238E27FC236}">
              <a16:creationId xmlns:a16="http://schemas.microsoft.com/office/drawing/2014/main" id="{00000000-0008-0000-1F00-000033000000}"/>
            </a:ext>
          </a:extLst>
        </xdr:cNvPr>
        <xdr:cNvSpPr/>
      </xdr:nvSpPr>
      <xdr:spPr>
        <a:xfrm rot="12202146">
          <a:off x="7914985" y="3939335"/>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289890</xdr:colOff>
      <xdr:row>8</xdr:row>
      <xdr:rowOff>38454</xdr:rowOff>
    </xdr:from>
    <xdr:to>
      <xdr:col>13</xdr:col>
      <xdr:colOff>215347</xdr:colOff>
      <xdr:row>11</xdr:row>
      <xdr:rowOff>24849</xdr:rowOff>
    </xdr:to>
    <xdr:sp macro="" textlink="">
      <xdr:nvSpPr>
        <xdr:cNvPr id="52" name="타원 51">
          <a:extLst>
            <a:ext uri="{FF2B5EF4-FFF2-40B4-BE49-F238E27FC236}">
              <a16:creationId xmlns:a16="http://schemas.microsoft.com/office/drawing/2014/main" id="{00000000-0008-0000-1F00-000034000000}"/>
            </a:ext>
          </a:extLst>
        </xdr:cNvPr>
        <xdr:cNvSpPr/>
      </xdr:nvSpPr>
      <xdr:spPr>
        <a:xfrm>
          <a:off x="8572499" y="1694976"/>
          <a:ext cx="612913" cy="63243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3</xdr:col>
      <xdr:colOff>0</xdr:colOff>
      <xdr:row>6</xdr:row>
      <xdr:rowOff>0</xdr:rowOff>
    </xdr:from>
    <xdr:to>
      <xdr:col>8</xdr:col>
      <xdr:colOff>676848</xdr:colOff>
      <xdr:row>19</xdr:row>
      <xdr:rowOff>171854</xdr:rowOff>
    </xdr:to>
    <xdr:pic>
      <xdr:nvPicPr>
        <xdr:cNvPr id="2" name="그림 1">
          <a:extLst>
            <a:ext uri="{FF2B5EF4-FFF2-40B4-BE49-F238E27FC236}">
              <a16:creationId xmlns:a16="http://schemas.microsoft.com/office/drawing/2014/main" id="{00000000-0008-0000-2000-000002000000}"/>
            </a:ext>
          </a:extLst>
        </xdr:cNvPr>
        <xdr:cNvPicPr>
          <a:picLocks noChangeAspect="1"/>
        </xdr:cNvPicPr>
      </xdr:nvPicPr>
      <xdr:blipFill>
        <a:blip xmlns:r="http://schemas.openxmlformats.org/officeDocument/2006/relationships" r:embed="rId1"/>
        <a:stretch>
          <a:fillRect/>
        </a:stretch>
      </xdr:blipFill>
      <xdr:spPr>
        <a:xfrm>
          <a:off x="2057400" y="1257300"/>
          <a:ext cx="4105848" cy="2896004"/>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xdr:from>
      <xdr:col>9</xdr:col>
      <xdr:colOff>215985</xdr:colOff>
      <xdr:row>9</xdr:row>
      <xdr:rowOff>141124</xdr:rowOff>
    </xdr:from>
    <xdr:to>
      <xdr:col>9</xdr:col>
      <xdr:colOff>435793</xdr:colOff>
      <xdr:row>10</xdr:row>
      <xdr:rowOff>148451</xdr:rowOff>
    </xdr:to>
    <xdr:sp macro="" textlink="">
      <xdr:nvSpPr>
        <xdr:cNvPr id="2" name="타원 1">
          <a:extLst>
            <a:ext uri="{FF2B5EF4-FFF2-40B4-BE49-F238E27FC236}">
              <a16:creationId xmlns:a16="http://schemas.microsoft.com/office/drawing/2014/main" id="{00000000-0008-0000-2100-000002000000}"/>
            </a:ext>
          </a:extLst>
        </xdr:cNvPr>
        <xdr:cNvSpPr/>
      </xdr:nvSpPr>
      <xdr:spPr>
        <a:xfrm rot="12202146">
          <a:off x="6436224" y="2004711"/>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11</xdr:row>
      <xdr:rowOff>139211</xdr:rowOff>
    </xdr:from>
    <xdr:to>
      <xdr:col>9</xdr:col>
      <xdr:colOff>505557</xdr:colOff>
      <xdr:row>12</xdr:row>
      <xdr:rowOff>146539</xdr:rowOff>
    </xdr:to>
    <xdr:sp macro="" textlink="">
      <xdr:nvSpPr>
        <xdr:cNvPr id="3" name="타원 2">
          <a:extLst>
            <a:ext uri="{FF2B5EF4-FFF2-40B4-BE49-F238E27FC236}">
              <a16:creationId xmlns:a16="http://schemas.microsoft.com/office/drawing/2014/main" id="{00000000-0008-0000-2100-000003000000}"/>
            </a:ext>
          </a:extLst>
        </xdr:cNvPr>
        <xdr:cNvSpPr/>
      </xdr:nvSpPr>
      <xdr:spPr>
        <a:xfrm rot="12202146">
          <a:off x="6496049" y="22347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21</xdr:row>
      <xdr:rowOff>205152</xdr:rowOff>
    </xdr:from>
    <xdr:to>
      <xdr:col>9</xdr:col>
      <xdr:colOff>549518</xdr:colOff>
      <xdr:row>22</xdr:row>
      <xdr:rowOff>212479</xdr:rowOff>
    </xdr:to>
    <xdr:sp macro="" textlink="">
      <xdr:nvSpPr>
        <xdr:cNvPr id="4" name="타원 3">
          <a:extLst>
            <a:ext uri="{FF2B5EF4-FFF2-40B4-BE49-F238E27FC236}">
              <a16:creationId xmlns:a16="http://schemas.microsoft.com/office/drawing/2014/main" id="{00000000-0008-0000-2100-000004000000}"/>
            </a:ext>
          </a:extLst>
        </xdr:cNvPr>
        <xdr:cNvSpPr/>
      </xdr:nvSpPr>
      <xdr:spPr>
        <a:xfrm rot="12202146">
          <a:off x="6540010" y="4434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13</xdr:row>
      <xdr:rowOff>87922</xdr:rowOff>
    </xdr:from>
    <xdr:to>
      <xdr:col>9</xdr:col>
      <xdr:colOff>498229</xdr:colOff>
      <xdr:row>14</xdr:row>
      <xdr:rowOff>95249</xdr:rowOff>
    </xdr:to>
    <xdr:sp macro="" textlink="">
      <xdr:nvSpPr>
        <xdr:cNvPr id="5" name="타원 4">
          <a:extLst>
            <a:ext uri="{FF2B5EF4-FFF2-40B4-BE49-F238E27FC236}">
              <a16:creationId xmlns:a16="http://schemas.microsoft.com/office/drawing/2014/main" id="{00000000-0008-0000-2100-000005000000}"/>
            </a:ext>
          </a:extLst>
        </xdr:cNvPr>
        <xdr:cNvSpPr/>
      </xdr:nvSpPr>
      <xdr:spPr>
        <a:xfrm rot="12202146">
          <a:off x="6488721" y="26215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16</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2100-000006000000}"/>
                </a:ext>
              </a:extLst>
            </xdr:cNvPr>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276400</xdr:colOff>
      <xdr:row>15</xdr:row>
      <xdr:rowOff>49016</xdr:rowOff>
    </xdr:from>
    <xdr:to>
      <xdr:col>13</xdr:col>
      <xdr:colOff>496208</xdr:colOff>
      <xdr:row>16</xdr:row>
      <xdr:rowOff>56343</xdr:rowOff>
    </xdr:to>
    <xdr:sp macro="" textlink="">
      <xdr:nvSpPr>
        <xdr:cNvPr id="8" name="타원 7">
          <a:extLst>
            <a:ext uri="{FF2B5EF4-FFF2-40B4-BE49-F238E27FC236}">
              <a16:creationId xmlns:a16="http://schemas.microsoft.com/office/drawing/2014/main" id="{00000000-0008-0000-2100-000008000000}"/>
            </a:ext>
          </a:extLst>
        </xdr:cNvPr>
        <xdr:cNvSpPr/>
      </xdr:nvSpPr>
      <xdr:spPr>
        <a:xfrm rot="12202146">
          <a:off x="9197055" y="3241533"/>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157369</xdr:colOff>
      <xdr:row>5</xdr:row>
      <xdr:rowOff>204106</xdr:rowOff>
    </xdr:from>
    <xdr:to>
      <xdr:col>8</xdr:col>
      <xdr:colOff>82827</xdr:colOff>
      <xdr:row>8</xdr:row>
      <xdr:rowOff>152044</xdr:rowOff>
    </xdr:to>
    <xdr:sp macro="" textlink="">
      <xdr:nvSpPr>
        <xdr:cNvPr id="10" name="타원 9">
          <a:extLst>
            <a:ext uri="{FF2B5EF4-FFF2-40B4-BE49-F238E27FC236}">
              <a16:creationId xmlns:a16="http://schemas.microsoft.com/office/drawing/2014/main" id="{00000000-0008-0000-2100-00000A000000}"/>
            </a:ext>
          </a:extLst>
        </xdr:cNvPr>
        <xdr:cNvSpPr/>
      </xdr:nvSpPr>
      <xdr:spPr>
        <a:xfrm>
          <a:off x="4996069" y="104230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7</xdr:row>
      <xdr:rowOff>79867</xdr:rowOff>
    </xdr:from>
    <xdr:to>
      <xdr:col>11</xdr:col>
      <xdr:colOff>157369</xdr:colOff>
      <xdr:row>10</xdr:row>
      <xdr:rowOff>91109</xdr:rowOff>
    </xdr:to>
    <xdr:sp macro="" textlink="">
      <xdr:nvSpPr>
        <xdr:cNvPr id="11" name="타원 10">
          <a:extLst>
            <a:ext uri="{FF2B5EF4-FFF2-40B4-BE49-F238E27FC236}">
              <a16:creationId xmlns:a16="http://schemas.microsoft.com/office/drawing/2014/main" id="{00000000-0008-0000-2100-00000B000000}"/>
            </a:ext>
          </a:extLst>
        </xdr:cNvPr>
        <xdr:cNvSpPr/>
      </xdr:nvSpPr>
      <xdr:spPr>
        <a:xfrm>
          <a:off x="7128012" y="1337167"/>
          <a:ext cx="611257" cy="63989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11</xdr:row>
      <xdr:rowOff>124558</xdr:rowOff>
    </xdr:from>
    <xdr:to>
      <xdr:col>11</xdr:col>
      <xdr:colOff>468923</xdr:colOff>
      <xdr:row>12</xdr:row>
      <xdr:rowOff>131885</xdr:rowOff>
    </xdr:to>
    <xdr:sp macro="" textlink="">
      <xdr:nvSpPr>
        <xdr:cNvPr id="12" name="타원 11">
          <a:extLst>
            <a:ext uri="{FF2B5EF4-FFF2-40B4-BE49-F238E27FC236}">
              <a16:creationId xmlns:a16="http://schemas.microsoft.com/office/drawing/2014/main" id="{00000000-0008-0000-2100-00000C000000}"/>
            </a:ext>
          </a:extLst>
        </xdr:cNvPr>
        <xdr:cNvSpPr/>
      </xdr:nvSpPr>
      <xdr:spPr>
        <a:xfrm rot="12202146">
          <a:off x="7831015" y="222005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13</xdr:row>
      <xdr:rowOff>139211</xdr:rowOff>
    </xdr:from>
    <xdr:to>
      <xdr:col>11</xdr:col>
      <xdr:colOff>505557</xdr:colOff>
      <xdr:row>14</xdr:row>
      <xdr:rowOff>146539</xdr:rowOff>
    </xdr:to>
    <xdr:sp macro="" textlink="">
      <xdr:nvSpPr>
        <xdr:cNvPr id="13" name="타원 12">
          <a:extLst>
            <a:ext uri="{FF2B5EF4-FFF2-40B4-BE49-F238E27FC236}">
              <a16:creationId xmlns:a16="http://schemas.microsoft.com/office/drawing/2014/main" id="{00000000-0008-0000-2100-00000D000000}"/>
            </a:ext>
          </a:extLst>
        </xdr:cNvPr>
        <xdr:cNvSpPr/>
      </xdr:nvSpPr>
      <xdr:spPr>
        <a:xfrm rot="12202146">
          <a:off x="7867649" y="26728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15</xdr:row>
      <xdr:rowOff>87922</xdr:rowOff>
    </xdr:from>
    <xdr:to>
      <xdr:col>11</xdr:col>
      <xdr:colOff>498229</xdr:colOff>
      <xdr:row>16</xdr:row>
      <xdr:rowOff>95249</xdr:rowOff>
    </xdr:to>
    <xdr:sp macro="" textlink="">
      <xdr:nvSpPr>
        <xdr:cNvPr id="14" name="타원 13">
          <a:extLst>
            <a:ext uri="{FF2B5EF4-FFF2-40B4-BE49-F238E27FC236}">
              <a16:creationId xmlns:a16="http://schemas.microsoft.com/office/drawing/2014/main" id="{00000000-0008-0000-2100-00000E000000}"/>
            </a:ext>
          </a:extLst>
        </xdr:cNvPr>
        <xdr:cNvSpPr/>
      </xdr:nvSpPr>
      <xdr:spPr>
        <a:xfrm rot="12202146">
          <a:off x="7860321" y="30597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16</xdr:row>
      <xdr:rowOff>134845</xdr:rowOff>
    </xdr:from>
    <xdr:ext cx="330283" cy="75142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0000000-0008-0000-2100-00000F000000}"/>
                </a:ext>
              </a:extLst>
            </xdr:cNvPr>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5" name="TextBox 14"/>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19</xdr:row>
      <xdr:rowOff>162465</xdr:rowOff>
    </xdr:from>
    <xdr:to>
      <xdr:col>11</xdr:col>
      <xdr:colOff>539641</xdr:colOff>
      <xdr:row>20</xdr:row>
      <xdr:rowOff>169792</xdr:rowOff>
    </xdr:to>
    <xdr:sp macro="" textlink="">
      <xdr:nvSpPr>
        <xdr:cNvPr id="16" name="타원 15">
          <a:extLst>
            <a:ext uri="{FF2B5EF4-FFF2-40B4-BE49-F238E27FC236}">
              <a16:creationId xmlns:a16="http://schemas.microsoft.com/office/drawing/2014/main" id="{00000000-0008-0000-2100-000010000000}"/>
            </a:ext>
          </a:extLst>
        </xdr:cNvPr>
        <xdr:cNvSpPr/>
      </xdr:nvSpPr>
      <xdr:spPr>
        <a:xfrm rot="12202146">
          <a:off x="7901733" y="3972465"/>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289890</xdr:colOff>
      <xdr:row>9</xdr:row>
      <xdr:rowOff>38454</xdr:rowOff>
    </xdr:from>
    <xdr:to>
      <xdr:col>13</xdr:col>
      <xdr:colOff>215347</xdr:colOff>
      <xdr:row>12</xdr:row>
      <xdr:rowOff>24849</xdr:rowOff>
    </xdr:to>
    <xdr:sp macro="" textlink="">
      <xdr:nvSpPr>
        <xdr:cNvPr id="17" name="타원 16">
          <a:extLst>
            <a:ext uri="{FF2B5EF4-FFF2-40B4-BE49-F238E27FC236}">
              <a16:creationId xmlns:a16="http://schemas.microsoft.com/office/drawing/2014/main" id="{00000000-0008-0000-2100-000011000000}"/>
            </a:ext>
          </a:extLst>
        </xdr:cNvPr>
        <xdr:cNvSpPr/>
      </xdr:nvSpPr>
      <xdr:spPr>
        <a:xfrm>
          <a:off x="8557590" y="1714854"/>
          <a:ext cx="611257" cy="634095"/>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twoCellAnchor>
    <xdr:from>
      <xdr:col>13</xdr:col>
      <xdr:colOff>269832</xdr:colOff>
      <xdr:row>13</xdr:row>
      <xdr:rowOff>206672</xdr:rowOff>
    </xdr:from>
    <xdr:to>
      <xdr:col>13</xdr:col>
      <xdr:colOff>489640</xdr:colOff>
      <xdr:row>14</xdr:row>
      <xdr:rowOff>194293</xdr:rowOff>
    </xdr:to>
    <xdr:sp macro="" textlink="">
      <xdr:nvSpPr>
        <xdr:cNvPr id="18" name="타원 17">
          <a:extLst>
            <a:ext uri="{FF2B5EF4-FFF2-40B4-BE49-F238E27FC236}">
              <a16:creationId xmlns:a16="http://schemas.microsoft.com/office/drawing/2014/main" id="{00000000-0008-0000-2100-000012000000}"/>
            </a:ext>
          </a:extLst>
        </xdr:cNvPr>
        <xdr:cNvSpPr/>
      </xdr:nvSpPr>
      <xdr:spPr>
        <a:xfrm rot="12202146">
          <a:off x="9190487" y="2959069"/>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276402</xdr:colOff>
      <xdr:row>16</xdr:row>
      <xdr:rowOff>121275</xdr:rowOff>
    </xdr:from>
    <xdr:to>
      <xdr:col>13</xdr:col>
      <xdr:colOff>496210</xdr:colOff>
      <xdr:row>17</xdr:row>
      <xdr:rowOff>108895</xdr:rowOff>
    </xdr:to>
    <xdr:sp macro="" textlink="">
      <xdr:nvSpPr>
        <xdr:cNvPr id="20" name="타원 19">
          <a:extLst>
            <a:ext uri="{FF2B5EF4-FFF2-40B4-BE49-F238E27FC236}">
              <a16:creationId xmlns:a16="http://schemas.microsoft.com/office/drawing/2014/main" id="{00000000-0008-0000-2100-000014000000}"/>
            </a:ext>
          </a:extLst>
        </xdr:cNvPr>
        <xdr:cNvSpPr/>
      </xdr:nvSpPr>
      <xdr:spPr>
        <a:xfrm rot="12202146">
          <a:off x="9197057" y="3523999"/>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247649</xdr:colOff>
      <xdr:row>95</xdr:row>
      <xdr:rowOff>9524</xdr:rowOff>
    </xdr:from>
    <xdr:to>
      <xdr:col>13</xdr:col>
      <xdr:colOff>390524</xdr:colOff>
      <xdr:row>115</xdr:row>
      <xdr:rowOff>209549</xdr:rowOff>
    </xdr:to>
    <mc:AlternateContent xmlns:mc="http://schemas.openxmlformats.org/markup-compatibility/2006">
      <mc:Choice xmlns:cx1="http://schemas.microsoft.com/office/drawing/2015/9/8/chartex" Requires="cx1">
        <xdr:graphicFrame macro="">
          <xdr:nvGraphicFramePr>
            <xdr:cNvPr id="2" name="차트 1">
              <a:extLst>
                <a:ext uri="{FF2B5EF4-FFF2-40B4-BE49-F238E27FC236}">
                  <a16:creationId xmlns:a16="http://schemas.microsoft.com/office/drawing/2014/main" id="{00000000-0008-0000-0400-000002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648824" y="20983574"/>
              <a:ext cx="3571875" cy="4391025"/>
            </a:xfrm>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twoCellAnchor>
    <xdr:from>
      <xdr:col>3</xdr:col>
      <xdr:colOff>285750</xdr:colOff>
      <xdr:row>94</xdr:row>
      <xdr:rowOff>200025</xdr:rowOff>
    </xdr:from>
    <xdr:to>
      <xdr:col>8</xdr:col>
      <xdr:colOff>19049</xdr:colOff>
      <xdr:row>116</xdr:row>
      <xdr:rowOff>0</xdr:rowOff>
    </xdr:to>
    <mc:AlternateContent xmlns:mc="http://schemas.openxmlformats.org/markup-compatibility/2006">
      <mc:Choice xmlns:cx1="http://schemas.microsoft.com/office/drawing/2015/9/8/chartex" Requires="cx1">
        <xdr:graphicFrame macro="">
          <xdr:nvGraphicFramePr>
            <xdr:cNvPr id="3" name="차트 2">
              <a:extLst>
                <a:ext uri="{FF2B5EF4-FFF2-40B4-BE49-F238E27FC236}">
                  <a16:creationId xmlns:a16="http://schemas.microsoft.com/office/drawing/2014/main" id="{00000000-0008-0000-0400-000003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3733800" y="20964525"/>
              <a:ext cx="5686424" cy="4410075"/>
            </a:xfrm>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twoCellAnchor editAs="oneCell">
    <xdr:from>
      <xdr:col>1</xdr:col>
      <xdr:colOff>339588</xdr:colOff>
      <xdr:row>135</xdr:row>
      <xdr:rowOff>0</xdr:rowOff>
    </xdr:from>
    <xdr:to>
      <xdr:col>6</xdr:col>
      <xdr:colOff>795074</xdr:colOff>
      <xdr:row>149</xdr:row>
      <xdr:rowOff>76778</xdr:rowOff>
    </xdr:to>
    <xdr:pic>
      <xdr:nvPicPr>
        <xdr:cNvPr id="4" name="그림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1027045" y="29013978"/>
          <a:ext cx="6891072" cy="2975691"/>
        </a:xfrm>
        <a:prstGeom prst="rect">
          <a:avLst/>
        </a:prstGeom>
      </xdr:spPr>
    </xdr:pic>
    <xdr:clientData/>
  </xdr:twoCellAnchor>
  <xdr:twoCellAnchor editAs="oneCell">
    <xdr:from>
      <xdr:col>7</xdr:col>
      <xdr:colOff>0</xdr:colOff>
      <xdr:row>166</xdr:row>
      <xdr:rowOff>0</xdr:rowOff>
    </xdr:from>
    <xdr:to>
      <xdr:col>20</xdr:col>
      <xdr:colOff>139031</xdr:colOff>
      <xdr:row>182</xdr:row>
      <xdr:rowOff>160324</xdr:rowOff>
    </xdr:to>
    <xdr:pic>
      <xdr:nvPicPr>
        <xdr:cNvPr id="5" name="그림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8721183" y="35767537"/>
          <a:ext cx="9078592" cy="3505689"/>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xdr:from>
      <xdr:col>9</xdr:col>
      <xdr:colOff>249115</xdr:colOff>
      <xdr:row>9</xdr:row>
      <xdr:rowOff>124558</xdr:rowOff>
    </xdr:from>
    <xdr:to>
      <xdr:col>9</xdr:col>
      <xdr:colOff>468923</xdr:colOff>
      <xdr:row>10</xdr:row>
      <xdr:rowOff>131885</xdr:rowOff>
    </xdr:to>
    <xdr:sp macro="" textlink="">
      <xdr:nvSpPr>
        <xdr:cNvPr id="2" name="타원 1">
          <a:extLst>
            <a:ext uri="{FF2B5EF4-FFF2-40B4-BE49-F238E27FC236}">
              <a16:creationId xmlns:a16="http://schemas.microsoft.com/office/drawing/2014/main" id="{00000000-0008-0000-2200-000002000000}"/>
            </a:ext>
          </a:extLst>
        </xdr:cNvPr>
        <xdr:cNvSpPr/>
      </xdr:nvSpPr>
      <xdr:spPr>
        <a:xfrm rot="12202146">
          <a:off x="6459415" y="201050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11</xdr:row>
      <xdr:rowOff>139211</xdr:rowOff>
    </xdr:from>
    <xdr:to>
      <xdr:col>9</xdr:col>
      <xdr:colOff>505557</xdr:colOff>
      <xdr:row>12</xdr:row>
      <xdr:rowOff>146539</xdr:rowOff>
    </xdr:to>
    <xdr:sp macro="" textlink="">
      <xdr:nvSpPr>
        <xdr:cNvPr id="3" name="타원 2">
          <a:extLst>
            <a:ext uri="{FF2B5EF4-FFF2-40B4-BE49-F238E27FC236}">
              <a16:creationId xmlns:a16="http://schemas.microsoft.com/office/drawing/2014/main" id="{00000000-0008-0000-2200-000003000000}"/>
            </a:ext>
          </a:extLst>
        </xdr:cNvPr>
        <xdr:cNvSpPr/>
      </xdr:nvSpPr>
      <xdr:spPr>
        <a:xfrm rot="12202146">
          <a:off x="6496049" y="24442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21</xdr:row>
      <xdr:rowOff>205152</xdr:rowOff>
    </xdr:from>
    <xdr:to>
      <xdr:col>9</xdr:col>
      <xdr:colOff>549518</xdr:colOff>
      <xdr:row>22</xdr:row>
      <xdr:rowOff>212479</xdr:rowOff>
    </xdr:to>
    <xdr:sp macro="" textlink="">
      <xdr:nvSpPr>
        <xdr:cNvPr id="4" name="타원 3">
          <a:extLst>
            <a:ext uri="{FF2B5EF4-FFF2-40B4-BE49-F238E27FC236}">
              <a16:creationId xmlns:a16="http://schemas.microsoft.com/office/drawing/2014/main" id="{00000000-0008-0000-2200-000004000000}"/>
            </a:ext>
          </a:extLst>
        </xdr:cNvPr>
        <xdr:cNvSpPr/>
      </xdr:nvSpPr>
      <xdr:spPr>
        <a:xfrm rot="12202146">
          <a:off x="6540010" y="46819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13</xdr:row>
      <xdr:rowOff>87922</xdr:rowOff>
    </xdr:from>
    <xdr:to>
      <xdr:col>9</xdr:col>
      <xdr:colOff>498229</xdr:colOff>
      <xdr:row>14</xdr:row>
      <xdr:rowOff>95249</xdr:rowOff>
    </xdr:to>
    <xdr:sp macro="" textlink="">
      <xdr:nvSpPr>
        <xdr:cNvPr id="5" name="타원 4">
          <a:extLst>
            <a:ext uri="{FF2B5EF4-FFF2-40B4-BE49-F238E27FC236}">
              <a16:creationId xmlns:a16="http://schemas.microsoft.com/office/drawing/2014/main" id="{00000000-0008-0000-2200-000005000000}"/>
            </a:ext>
          </a:extLst>
        </xdr:cNvPr>
        <xdr:cNvSpPr/>
      </xdr:nvSpPr>
      <xdr:spPr>
        <a:xfrm rot="12202146">
          <a:off x="6488721" y="283112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16</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2200-000006000000}"/>
                </a:ext>
              </a:extLst>
            </xdr:cNvPr>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276400</xdr:colOff>
      <xdr:row>15</xdr:row>
      <xdr:rowOff>49016</xdr:rowOff>
    </xdr:from>
    <xdr:to>
      <xdr:col>13</xdr:col>
      <xdr:colOff>496208</xdr:colOff>
      <xdr:row>16</xdr:row>
      <xdr:rowOff>56343</xdr:rowOff>
    </xdr:to>
    <xdr:sp macro="" textlink="">
      <xdr:nvSpPr>
        <xdr:cNvPr id="7" name="타원 6">
          <a:extLst>
            <a:ext uri="{FF2B5EF4-FFF2-40B4-BE49-F238E27FC236}">
              <a16:creationId xmlns:a16="http://schemas.microsoft.com/office/drawing/2014/main" id="{00000000-0008-0000-2200-000007000000}"/>
            </a:ext>
          </a:extLst>
        </xdr:cNvPr>
        <xdr:cNvSpPr/>
      </xdr:nvSpPr>
      <xdr:spPr>
        <a:xfrm rot="12202146">
          <a:off x="9229900" y="32303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157369</xdr:colOff>
      <xdr:row>5</xdr:row>
      <xdr:rowOff>204106</xdr:rowOff>
    </xdr:from>
    <xdr:to>
      <xdr:col>8</xdr:col>
      <xdr:colOff>82827</xdr:colOff>
      <xdr:row>8</xdr:row>
      <xdr:rowOff>152044</xdr:rowOff>
    </xdr:to>
    <xdr:sp macro="" textlink="">
      <xdr:nvSpPr>
        <xdr:cNvPr id="8" name="타원 7">
          <a:extLst>
            <a:ext uri="{FF2B5EF4-FFF2-40B4-BE49-F238E27FC236}">
              <a16:creationId xmlns:a16="http://schemas.microsoft.com/office/drawing/2014/main" id="{00000000-0008-0000-2200-000008000000}"/>
            </a:ext>
          </a:extLst>
        </xdr:cNvPr>
        <xdr:cNvSpPr/>
      </xdr:nvSpPr>
      <xdr:spPr>
        <a:xfrm>
          <a:off x="4996069" y="125185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7</xdr:row>
      <xdr:rowOff>79867</xdr:rowOff>
    </xdr:from>
    <xdr:to>
      <xdr:col>11</xdr:col>
      <xdr:colOff>157369</xdr:colOff>
      <xdr:row>10</xdr:row>
      <xdr:rowOff>91109</xdr:rowOff>
    </xdr:to>
    <xdr:sp macro="" textlink="">
      <xdr:nvSpPr>
        <xdr:cNvPr id="9" name="타원 8">
          <a:extLst>
            <a:ext uri="{FF2B5EF4-FFF2-40B4-BE49-F238E27FC236}">
              <a16:creationId xmlns:a16="http://schemas.microsoft.com/office/drawing/2014/main" id="{00000000-0008-0000-2200-000009000000}"/>
            </a:ext>
          </a:extLst>
        </xdr:cNvPr>
        <xdr:cNvSpPr/>
      </xdr:nvSpPr>
      <xdr:spPr>
        <a:xfrm>
          <a:off x="7128012" y="1546717"/>
          <a:ext cx="611257" cy="63989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11</xdr:row>
      <xdr:rowOff>124558</xdr:rowOff>
    </xdr:from>
    <xdr:to>
      <xdr:col>11</xdr:col>
      <xdr:colOff>468923</xdr:colOff>
      <xdr:row>12</xdr:row>
      <xdr:rowOff>131885</xdr:rowOff>
    </xdr:to>
    <xdr:sp macro="" textlink="">
      <xdr:nvSpPr>
        <xdr:cNvPr id="10" name="타원 9">
          <a:extLst>
            <a:ext uri="{FF2B5EF4-FFF2-40B4-BE49-F238E27FC236}">
              <a16:creationId xmlns:a16="http://schemas.microsoft.com/office/drawing/2014/main" id="{00000000-0008-0000-2200-00000A000000}"/>
            </a:ext>
          </a:extLst>
        </xdr:cNvPr>
        <xdr:cNvSpPr/>
      </xdr:nvSpPr>
      <xdr:spPr>
        <a:xfrm rot="12202146">
          <a:off x="7831015" y="242960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13</xdr:row>
      <xdr:rowOff>139211</xdr:rowOff>
    </xdr:from>
    <xdr:to>
      <xdr:col>11</xdr:col>
      <xdr:colOff>505557</xdr:colOff>
      <xdr:row>14</xdr:row>
      <xdr:rowOff>146539</xdr:rowOff>
    </xdr:to>
    <xdr:sp macro="" textlink="">
      <xdr:nvSpPr>
        <xdr:cNvPr id="11" name="타원 10">
          <a:extLst>
            <a:ext uri="{FF2B5EF4-FFF2-40B4-BE49-F238E27FC236}">
              <a16:creationId xmlns:a16="http://schemas.microsoft.com/office/drawing/2014/main" id="{00000000-0008-0000-2200-00000B000000}"/>
            </a:ext>
          </a:extLst>
        </xdr:cNvPr>
        <xdr:cNvSpPr/>
      </xdr:nvSpPr>
      <xdr:spPr>
        <a:xfrm rot="12202146">
          <a:off x="7867649" y="28824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15</xdr:row>
      <xdr:rowOff>87922</xdr:rowOff>
    </xdr:from>
    <xdr:to>
      <xdr:col>11</xdr:col>
      <xdr:colOff>498229</xdr:colOff>
      <xdr:row>16</xdr:row>
      <xdr:rowOff>95249</xdr:rowOff>
    </xdr:to>
    <xdr:sp macro="" textlink="">
      <xdr:nvSpPr>
        <xdr:cNvPr id="12" name="타원 11">
          <a:extLst>
            <a:ext uri="{FF2B5EF4-FFF2-40B4-BE49-F238E27FC236}">
              <a16:creationId xmlns:a16="http://schemas.microsoft.com/office/drawing/2014/main" id="{00000000-0008-0000-2200-00000C000000}"/>
            </a:ext>
          </a:extLst>
        </xdr:cNvPr>
        <xdr:cNvSpPr/>
      </xdr:nvSpPr>
      <xdr:spPr>
        <a:xfrm rot="12202146">
          <a:off x="7860321" y="32692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16</xdr:row>
      <xdr:rowOff>134845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200-00000D000000}"/>
                </a:ext>
              </a:extLst>
            </xdr:cNvPr>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19</xdr:row>
      <xdr:rowOff>162465</xdr:rowOff>
    </xdr:from>
    <xdr:to>
      <xdr:col>11</xdr:col>
      <xdr:colOff>539641</xdr:colOff>
      <xdr:row>20</xdr:row>
      <xdr:rowOff>169792</xdr:rowOff>
    </xdr:to>
    <xdr:sp macro="" textlink="">
      <xdr:nvSpPr>
        <xdr:cNvPr id="14" name="타원 13">
          <a:extLst>
            <a:ext uri="{FF2B5EF4-FFF2-40B4-BE49-F238E27FC236}">
              <a16:creationId xmlns:a16="http://schemas.microsoft.com/office/drawing/2014/main" id="{00000000-0008-0000-2200-00000E000000}"/>
            </a:ext>
          </a:extLst>
        </xdr:cNvPr>
        <xdr:cNvSpPr/>
      </xdr:nvSpPr>
      <xdr:spPr>
        <a:xfrm rot="12202146">
          <a:off x="7901733" y="4201065"/>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289890</xdr:colOff>
      <xdr:row>9</xdr:row>
      <xdr:rowOff>38454</xdr:rowOff>
    </xdr:from>
    <xdr:to>
      <xdr:col>13</xdr:col>
      <xdr:colOff>215347</xdr:colOff>
      <xdr:row>12</xdr:row>
      <xdr:rowOff>24849</xdr:rowOff>
    </xdr:to>
    <xdr:sp macro="" textlink="">
      <xdr:nvSpPr>
        <xdr:cNvPr id="15" name="타원 14">
          <a:extLst>
            <a:ext uri="{FF2B5EF4-FFF2-40B4-BE49-F238E27FC236}">
              <a16:creationId xmlns:a16="http://schemas.microsoft.com/office/drawing/2014/main" id="{00000000-0008-0000-2200-00000F000000}"/>
            </a:ext>
          </a:extLst>
        </xdr:cNvPr>
        <xdr:cNvSpPr/>
      </xdr:nvSpPr>
      <xdr:spPr>
        <a:xfrm>
          <a:off x="8557590" y="1924404"/>
          <a:ext cx="611257" cy="634095"/>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wsDr>
</file>

<file path=xl/drawings/drawing31.xml><?xml version="1.0" encoding="utf-8"?>
<xdr:wsDr xmlns:xdr="http://schemas.openxmlformats.org/drawingml/2006/spreadsheetDrawing" xmlns:a="http://schemas.openxmlformats.org/drawingml/2006/main">
  <xdr:twoCellAnchor>
    <xdr:from>
      <xdr:col>9</xdr:col>
      <xdr:colOff>249115</xdr:colOff>
      <xdr:row>10</xdr:row>
      <xdr:rowOff>124558</xdr:rowOff>
    </xdr:from>
    <xdr:to>
      <xdr:col>9</xdr:col>
      <xdr:colOff>468923</xdr:colOff>
      <xdr:row>11</xdr:row>
      <xdr:rowOff>131885</xdr:rowOff>
    </xdr:to>
    <xdr:sp macro="" textlink="">
      <xdr:nvSpPr>
        <xdr:cNvPr id="2" name="타원 1">
          <a:extLst>
            <a:ext uri="{FF2B5EF4-FFF2-40B4-BE49-F238E27FC236}">
              <a16:creationId xmlns:a16="http://schemas.microsoft.com/office/drawing/2014/main" id="{00000000-0008-0000-2300-000002000000}"/>
            </a:ext>
          </a:extLst>
        </xdr:cNvPr>
        <xdr:cNvSpPr/>
      </xdr:nvSpPr>
      <xdr:spPr>
        <a:xfrm rot="12202146">
          <a:off x="6459415" y="201050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12</xdr:row>
      <xdr:rowOff>139211</xdr:rowOff>
    </xdr:from>
    <xdr:to>
      <xdr:col>9</xdr:col>
      <xdr:colOff>505557</xdr:colOff>
      <xdr:row>13</xdr:row>
      <xdr:rowOff>146539</xdr:rowOff>
    </xdr:to>
    <xdr:sp macro="" textlink="">
      <xdr:nvSpPr>
        <xdr:cNvPr id="3" name="타원 2">
          <a:extLst>
            <a:ext uri="{FF2B5EF4-FFF2-40B4-BE49-F238E27FC236}">
              <a16:creationId xmlns:a16="http://schemas.microsoft.com/office/drawing/2014/main" id="{00000000-0008-0000-2300-000003000000}"/>
            </a:ext>
          </a:extLst>
        </xdr:cNvPr>
        <xdr:cNvSpPr/>
      </xdr:nvSpPr>
      <xdr:spPr>
        <a:xfrm rot="12202146">
          <a:off x="6496049" y="24442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22</xdr:row>
      <xdr:rowOff>205152</xdr:rowOff>
    </xdr:from>
    <xdr:to>
      <xdr:col>9</xdr:col>
      <xdr:colOff>549518</xdr:colOff>
      <xdr:row>23</xdr:row>
      <xdr:rowOff>212479</xdr:rowOff>
    </xdr:to>
    <xdr:sp macro="" textlink="">
      <xdr:nvSpPr>
        <xdr:cNvPr id="4" name="타원 3">
          <a:extLst>
            <a:ext uri="{FF2B5EF4-FFF2-40B4-BE49-F238E27FC236}">
              <a16:creationId xmlns:a16="http://schemas.microsoft.com/office/drawing/2014/main" id="{00000000-0008-0000-2300-000004000000}"/>
            </a:ext>
          </a:extLst>
        </xdr:cNvPr>
        <xdr:cNvSpPr/>
      </xdr:nvSpPr>
      <xdr:spPr>
        <a:xfrm rot="12202146">
          <a:off x="6540010" y="46819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14</xdr:row>
      <xdr:rowOff>87922</xdr:rowOff>
    </xdr:from>
    <xdr:to>
      <xdr:col>9</xdr:col>
      <xdr:colOff>498229</xdr:colOff>
      <xdr:row>15</xdr:row>
      <xdr:rowOff>95249</xdr:rowOff>
    </xdr:to>
    <xdr:sp macro="" textlink="">
      <xdr:nvSpPr>
        <xdr:cNvPr id="5" name="타원 4">
          <a:extLst>
            <a:ext uri="{FF2B5EF4-FFF2-40B4-BE49-F238E27FC236}">
              <a16:creationId xmlns:a16="http://schemas.microsoft.com/office/drawing/2014/main" id="{00000000-0008-0000-2300-000005000000}"/>
            </a:ext>
          </a:extLst>
        </xdr:cNvPr>
        <xdr:cNvSpPr/>
      </xdr:nvSpPr>
      <xdr:spPr>
        <a:xfrm rot="12202146">
          <a:off x="6488721" y="283112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2300-000006000000}"/>
                </a:ext>
              </a:extLst>
            </xdr:cNvPr>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15</xdr:col>
      <xdr:colOff>276400</xdr:colOff>
      <xdr:row>16</xdr:row>
      <xdr:rowOff>49016</xdr:rowOff>
    </xdr:from>
    <xdr:to>
      <xdr:col>15</xdr:col>
      <xdr:colOff>496208</xdr:colOff>
      <xdr:row>17</xdr:row>
      <xdr:rowOff>56343</xdr:rowOff>
    </xdr:to>
    <xdr:sp macro="" textlink="">
      <xdr:nvSpPr>
        <xdr:cNvPr id="7" name="타원 6">
          <a:extLst>
            <a:ext uri="{FF2B5EF4-FFF2-40B4-BE49-F238E27FC236}">
              <a16:creationId xmlns:a16="http://schemas.microsoft.com/office/drawing/2014/main" id="{00000000-0008-0000-2300-000007000000}"/>
            </a:ext>
          </a:extLst>
        </xdr:cNvPr>
        <xdr:cNvSpPr/>
      </xdr:nvSpPr>
      <xdr:spPr>
        <a:xfrm rot="12202146">
          <a:off x="9229900" y="32303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249115</xdr:colOff>
      <xdr:row>12</xdr:row>
      <xdr:rowOff>124558</xdr:rowOff>
    </xdr:from>
    <xdr:to>
      <xdr:col>11</xdr:col>
      <xdr:colOff>468923</xdr:colOff>
      <xdr:row>13</xdr:row>
      <xdr:rowOff>131885</xdr:rowOff>
    </xdr:to>
    <xdr:sp macro="" textlink="">
      <xdr:nvSpPr>
        <xdr:cNvPr id="10" name="타원 9">
          <a:extLst>
            <a:ext uri="{FF2B5EF4-FFF2-40B4-BE49-F238E27FC236}">
              <a16:creationId xmlns:a16="http://schemas.microsoft.com/office/drawing/2014/main" id="{00000000-0008-0000-2300-00000A000000}"/>
            </a:ext>
          </a:extLst>
        </xdr:cNvPr>
        <xdr:cNvSpPr/>
      </xdr:nvSpPr>
      <xdr:spPr>
        <a:xfrm rot="12202146">
          <a:off x="7831015" y="242960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14</xdr:row>
      <xdr:rowOff>139211</xdr:rowOff>
    </xdr:from>
    <xdr:to>
      <xdr:col>11</xdr:col>
      <xdr:colOff>505557</xdr:colOff>
      <xdr:row>15</xdr:row>
      <xdr:rowOff>146539</xdr:rowOff>
    </xdr:to>
    <xdr:sp macro="" textlink="">
      <xdr:nvSpPr>
        <xdr:cNvPr id="11" name="타원 10">
          <a:extLst>
            <a:ext uri="{FF2B5EF4-FFF2-40B4-BE49-F238E27FC236}">
              <a16:creationId xmlns:a16="http://schemas.microsoft.com/office/drawing/2014/main" id="{00000000-0008-0000-2300-00000B000000}"/>
            </a:ext>
          </a:extLst>
        </xdr:cNvPr>
        <xdr:cNvSpPr/>
      </xdr:nvSpPr>
      <xdr:spPr>
        <a:xfrm rot="12202146">
          <a:off x="7867649" y="28824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16</xdr:row>
      <xdr:rowOff>87922</xdr:rowOff>
    </xdr:from>
    <xdr:to>
      <xdr:col>11</xdr:col>
      <xdr:colOff>498229</xdr:colOff>
      <xdr:row>17</xdr:row>
      <xdr:rowOff>95249</xdr:rowOff>
    </xdr:to>
    <xdr:sp macro="" textlink="">
      <xdr:nvSpPr>
        <xdr:cNvPr id="12" name="타원 11">
          <a:extLst>
            <a:ext uri="{FF2B5EF4-FFF2-40B4-BE49-F238E27FC236}">
              <a16:creationId xmlns:a16="http://schemas.microsoft.com/office/drawing/2014/main" id="{00000000-0008-0000-2300-00000C000000}"/>
            </a:ext>
          </a:extLst>
        </xdr:cNvPr>
        <xdr:cNvSpPr/>
      </xdr:nvSpPr>
      <xdr:spPr>
        <a:xfrm rot="12202146">
          <a:off x="7860321" y="32692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17</xdr:row>
      <xdr:rowOff>134845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300-00000D000000}"/>
                </a:ext>
              </a:extLst>
            </xdr:cNvPr>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20</xdr:row>
      <xdr:rowOff>162465</xdr:rowOff>
    </xdr:from>
    <xdr:to>
      <xdr:col>11</xdr:col>
      <xdr:colOff>539641</xdr:colOff>
      <xdr:row>21</xdr:row>
      <xdr:rowOff>169792</xdr:rowOff>
    </xdr:to>
    <xdr:sp macro="" textlink="">
      <xdr:nvSpPr>
        <xdr:cNvPr id="14" name="타원 13">
          <a:extLst>
            <a:ext uri="{FF2B5EF4-FFF2-40B4-BE49-F238E27FC236}">
              <a16:creationId xmlns:a16="http://schemas.microsoft.com/office/drawing/2014/main" id="{00000000-0008-0000-2300-00000E000000}"/>
            </a:ext>
          </a:extLst>
        </xdr:cNvPr>
        <xdr:cNvSpPr/>
      </xdr:nvSpPr>
      <xdr:spPr>
        <a:xfrm rot="12202146">
          <a:off x="7901733" y="4201065"/>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19</xdr:col>
      <xdr:colOff>0</xdr:colOff>
      <xdr:row>9</xdr:row>
      <xdr:rowOff>0</xdr:rowOff>
    </xdr:from>
    <xdr:to>
      <xdr:col>24</xdr:col>
      <xdr:colOff>497091</xdr:colOff>
      <xdr:row>28</xdr:row>
      <xdr:rowOff>5534</xdr:rowOff>
    </xdr:to>
    <xdr:pic>
      <xdr:nvPicPr>
        <xdr:cNvPr id="16" name="그림 15">
          <a:extLst>
            <a:ext uri="{FF2B5EF4-FFF2-40B4-BE49-F238E27FC236}">
              <a16:creationId xmlns:a16="http://schemas.microsoft.com/office/drawing/2014/main" id="{00000000-0008-0000-2300-000010000000}"/>
            </a:ext>
          </a:extLst>
        </xdr:cNvPr>
        <xdr:cNvPicPr>
          <a:picLocks noChangeAspect="1"/>
        </xdr:cNvPicPr>
      </xdr:nvPicPr>
      <xdr:blipFill>
        <a:blip xmlns:r="http://schemas.openxmlformats.org/officeDocument/2006/relationships" r:embed="rId1"/>
        <a:stretch>
          <a:fillRect/>
        </a:stretch>
      </xdr:blipFill>
      <xdr:spPr>
        <a:xfrm>
          <a:off x="11719891" y="1863587"/>
          <a:ext cx="3934374" cy="4039164"/>
        </a:xfrm>
        <a:prstGeom prst="rect">
          <a:avLst/>
        </a:prstGeom>
      </xdr:spPr>
    </xdr:pic>
    <xdr:clientData/>
  </xdr:twoCellAnchor>
  <xdr:twoCellAnchor>
    <xdr:from>
      <xdr:col>13</xdr:col>
      <xdr:colOff>249115</xdr:colOff>
      <xdr:row>14</xdr:row>
      <xdr:rowOff>124558</xdr:rowOff>
    </xdr:from>
    <xdr:to>
      <xdr:col>13</xdr:col>
      <xdr:colOff>468923</xdr:colOff>
      <xdr:row>15</xdr:row>
      <xdr:rowOff>131885</xdr:rowOff>
    </xdr:to>
    <xdr:sp macro="" textlink="">
      <xdr:nvSpPr>
        <xdr:cNvPr id="17" name="타원 16">
          <a:extLst>
            <a:ext uri="{FF2B5EF4-FFF2-40B4-BE49-F238E27FC236}">
              <a16:creationId xmlns:a16="http://schemas.microsoft.com/office/drawing/2014/main" id="{00000000-0008-0000-2300-000011000000}"/>
            </a:ext>
          </a:extLst>
        </xdr:cNvPr>
        <xdr:cNvSpPr/>
      </xdr:nvSpPr>
      <xdr:spPr>
        <a:xfrm rot="12202146">
          <a:off x="7844267" y="2609341"/>
          <a:ext cx="219808" cy="23924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16</xdr:row>
      <xdr:rowOff>139211</xdr:rowOff>
    </xdr:from>
    <xdr:to>
      <xdr:col>13</xdr:col>
      <xdr:colOff>505557</xdr:colOff>
      <xdr:row>17</xdr:row>
      <xdr:rowOff>146539</xdr:rowOff>
    </xdr:to>
    <xdr:sp macro="" textlink="">
      <xdr:nvSpPr>
        <xdr:cNvPr id="18" name="타원 17">
          <a:extLst>
            <a:ext uri="{FF2B5EF4-FFF2-40B4-BE49-F238E27FC236}">
              <a16:creationId xmlns:a16="http://schemas.microsoft.com/office/drawing/2014/main" id="{00000000-0008-0000-2300-000012000000}"/>
            </a:ext>
          </a:extLst>
        </xdr:cNvPr>
        <xdr:cNvSpPr/>
      </xdr:nvSpPr>
      <xdr:spPr>
        <a:xfrm rot="12202146">
          <a:off x="7880901" y="3062972"/>
          <a:ext cx="219808" cy="239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6</xdr:col>
      <xdr:colOff>255671</xdr:colOff>
      <xdr:row>5</xdr:row>
      <xdr:rowOff>30079</xdr:rowOff>
    </xdr:from>
    <xdr:to>
      <xdr:col>7</xdr:col>
      <xdr:colOff>461211</xdr:colOff>
      <xdr:row>6</xdr:row>
      <xdr:rowOff>100263</xdr:rowOff>
    </xdr:to>
    <xdr:sp macro="" textlink="">
      <xdr:nvSpPr>
        <xdr:cNvPr id="2" name="오른쪽 화살표 1">
          <a:extLst>
            <a:ext uri="{FF2B5EF4-FFF2-40B4-BE49-F238E27FC236}">
              <a16:creationId xmlns:a16="http://schemas.microsoft.com/office/drawing/2014/main" id="{00000000-0008-0000-2500-000002000000}"/>
            </a:ext>
          </a:extLst>
        </xdr:cNvPr>
        <xdr:cNvSpPr/>
      </xdr:nvSpPr>
      <xdr:spPr>
        <a:xfrm>
          <a:off x="5359066" y="872290"/>
          <a:ext cx="892342" cy="28073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265698</xdr:colOff>
      <xdr:row>5</xdr:row>
      <xdr:rowOff>0</xdr:rowOff>
    </xdr:from>
    <xdr:to>
      <xdr:col>8</xdr:col>
      <xdr:colOff>591554</xdr:colOff>
      <xdr:row>7</xdr:row>
      <xdr:rowOff>95251</xdr:rowOff>
    </xdr:to>
    <xdr:sp macro="" textlink="">
      <xdr:nvSpPr>
        <xdr:cNvPr id="3" name="정육면체 2">
          <a:extLst>
            <a:ext uri="{FF2B5EF4-FFF2-40B4-BE49-F238E27FC236}">
              <a16:creationId xmlns:a16="http://schemas.microsoft.com/office/drawing/2014/main" id="{00000000-0008-0000-2500-000003000000}"/>
            </a:ext>
          </a:extLst>
        </xdr:cNvPr>
        <xdr:cNvSpPr/>
      </xdr:nvSpPr>
      <xdr:spPr>
        <a:xfrm>
          <a:off x="6742698" y="842211"/>
          <a:ext cx="325856" cy="516356"/>
        </a:xfrm>
        <a:prstGeom prst="cub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3.xml><?xml version="1.0" encoding="utf-8"?>
<xdr:wsDr xmlns:xdr="http://schemas.openxmlformats.org/drawingml/2006/spreadsheetDrawing" xmlns:a="http://schemas.openxmlformats.org/drawingml/2006/main">
  <xdr:twoCellAnchor>
    <xdr:from>
      <xdr:col>4</xdr:col>
      <xdr:colOff>133350</xdr:colOff>
      <xdr:row>8</xdr:row>
      <xdr:rowOff>57150</xdr:rowOff>
    </xdr:from>
    <xdr:to>
      <xdr:col>4</xdr:col>
      <xdr:colOff>552450</xdr:colOff>
      <xdr:row>10</xdr:row>
      <xdr:rowOff>57150</xdr:rowOff>
    </xdr:to>
    <xdr:sp macro="" textlink="">
      <xdr:nvSpPr>
        <xdr:cNvPr id="2" name="타원 1">
          <a:extLst>
            <a:ext uri="{FF2B5EF4-FFF2-40B4-BE49-F238E27FC236}">
              <a16:creationId xmlns:a16="http://schemas.microsoft.com/office/drawing/2014/main" id="{00000000-0008-0000-2600-000002000000}"/>
            </a:ext>
          </a:extLst>
        </xdr:cNvPr>
        <xdr:cNvSpPr/>
      </xdr:nvSpPr>
      <xdr:spPr>
        <a:xfrm>
          <a:off x="2190750" y="1733550"/>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180975</xdr:colOff>
      <xdr:row>12</xdr:row>
      <xdr:rowOff>171450</xdr:rowOff>
    </xdr:from>
    <xdr:to>
      <xdr:col>4</xdr:col>
      <xdr:colOff>600075</xdr:colOff>
      <xdr:row>14</xdr:row>
      <xdr:rowOff>171450</xdr:rowOff>
    </xdr:to>
    <xdr:sp macro="" textlink="">
      <xdr:nvSpPr>
        <xdr:cNvPr id="3" name="타원 2">
          <a:extLst>
            <a:ext uri="{FF2B5EF4-FFF2-40B4-BE49-F238E27FC236}">
              <a16:creationId xmlns:a16="http://schemas.microsoft.com/office/drawing/2014/main" id="{00000000-0008-0000-2600-000003000000}"/>
            </a:ext>
          </a:extLst>
        </xdr:cNvPr>
        <xdr:cNvSpPr/>
      </xdr:nvSpPr>
      <xdr:spPr>
        <a:xfrm>
          <a:off x="2238375" y="2686050"/>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133350</xdr:colOff>
      <xdr:row>6</xdr:row>
      <xdr:rowOff>66675</xdr:rowOff>
    </xdr:from>
    <xdr:to>
      <xdr:col>7</xdr:col>
      <xdr:colOff>552450</xdr:colOff>
      <xdr:row>8</xdr:row>
      <xdr:rowOff>66675</xdr:rowOff>
    </xdr:to>
    <xdr:sp macro="" textlink="">
      <xdr:nvSpPr>
        <xdr:cNvPr id="4" name="타원 3">
          <a:extLst>
            <a:ext uri="{FF2B5EF4-FFF2-40B4-BE49-F238E27FC236}">
              <a16:creationId xmlns:a16="http://schemas.microsoft.com/office/drawing/2014/main" id="{00000000-0008-0000-2600-000004000000}"/>
            </a:ext>
          </a:extLst>
        </xdr:cNvPr>
        <xdr:cNvSpPr/>
      </xdr:nvSpPr>
      <xdr:spPr>
        <a:xfrm>
          <a:off x="4933950" y="132397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142875</xdr:colOff>
      <xdr:row>9</xdr:row>
      <xdr:rowOff>104775</xdr:rowOff>
    </xdr:from>
    <xdr:to>
      <xdr:col>7</xdr:col>
      <xdr:colOff>561975</xdr:colOff>
      <xdr:row>11</xdr:row>
      <xdr:rowOff>104775</xdr:rowOff>
    </xdr:to>
    <xdr:sp macro="" textlink="">
      <xdr:nvSpPr>
        <xdr:cNvPr id="5" name="타원 4">
          <a:extLst>
            <a:ext uri="{FF2B5EF4-FFF2-40B4-BE49-F238E27FC236}">
              <a16:creationId xmlns:a16="http://schemas.microsoft.com/office/drawing/2014/main" id="{00000000-0008-0000-2600-000005000000}"/>
            </a:ext>
          </a:extLst>
        </xdr:cNvPr>
        <xdr:cNvSpPr/>
      </xdr:nvSpPr>
      <xdr:spPr>
        <a:xfrm>
          <a:off x="4943475" y="199072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161925</xdr:colOff>
      <xdr:row>12</xdr:row>
      <xdr:rowOff>161925</xdr:rowOff>
    </xdr:from>
    <xdr:to>
      <xdr:col>7</xdr:col>
      <xdr:colOff>581025</xdr:colOff>
      <xdr:row>14</xdr:row>
      <xdr:rowOff>161925</xdr:rowOff>
    </xdr:to>
    <xdr:sp macro="" textlink="">
      <xdr:nvSpPr>
        <xdr:cNvPr id="6" name="타원 5">
          <a:extLst>
            <a:ext uri="{FF2B5EF4-FFF2-40B4-BE49-F238E27FC236}">
              <a16:creationId xmlns:a16="http://schemas.microsoft.com/office/drawing/2014/main" id="{00000000-0008-0000-2600-000006000000}"/>
            </a:ext>
          </a:extLst>
        </xdr:cNvPr>
        <xdr:cNvSpPr/>
      </xdr:nvSpPr>
      <xdr:spPr>
        <a:xfrm>
          <a:off x="4962525" y="267652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180975</xdr:colOff>
      <xdr:row>15</xdr:row>
      <xdr:rowOff>200025</xdr:rowOff>
    </xdr:from>
    <xdr:to>
      <xdr:col>7</xdr:col>
      <xdr:colOff>600075</xdr:colOff>
      <xdr:row>17</xdr:row>
      <xdr:rowOff>200025</xdr:rowOff>
    </xdr:to>
    <xdr:sp macro="" textlink="">
      <xdr:nvSpPr>
        <xdr:cNvPr id="7" name="타원 6">
          <a:extLst>
            <a:ext uri="{FF2B5EF4-FFF2-40B4-BE49-F238E27FC236}">
              <a16:creationId xmlns:a16="http://schemas.microsoft.com/office/drawing/2014/main" id="{00000000-0008-0000-2600-000007000000}"/>
            </a:ext>
          </a:extLst>
        </xdr:cNvPr>
        <xdr:cNvSpPr/>
      </xdr:nvSpPr>
      <xdr:spPr>
        <a:xfrm>
          <a:off x="4981575" y="334327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133350</xdr:colOff>
      <xdr:row>6</xdr:row>
      <xdr:rowOff>66675</xdr:rowOff>
    </xdr:from>
    <xdr:to>
      <xdr:col>10</xdr:col>
      <xdr:colOff>552450</xdr:colOff>
      <xdr:row>8</xdr:row>
      <xdr:rowOff>66675</xdr:rowOff>
    </xdr:to>
    <xdr:sp macro="" textlink="">
      <xdr:nvSpPr>
        <xdr:cNvPr id="8" name="타원 7">
          <a:extLst>
            <a:ext uri="{FF2B5EF4-FFF2-40B4-BE49-F238E27FC236}">
              <a16:creationId xmlns:a16="http://schemas.microsoft.com/office/drawing/2014/main" id="{00000000-0008-0000-2600-000008000000}"/>
            </a:ext>
          </a:extLst>
        </xdr:cNvPr>
        <xdr:cNvSpPr/>
      </xdr:nvSpPr>
      <xdr:spPr>
        <a:xfrm>
          <a:off x="4954465" y="1341560"/>
          <a:ext cx="419100" cy="424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142875</xdr:colOff>
      <xdr:row>9</xdr:row>
      <xdr:rowOff>104775</xdr:rowOff>
    </xdr:from>
    <xdr:to>
      <xdr:col>10</xdr:col>
      <xdr:colOff>561975</xdr:colOff>
      <xdr:row>11</xdr:row>
      <xdr:rowOff>104775</xdr:rowOff>
    </xdr:to>
    <xdr:sp macro="" textlink="">
      <xdr:nvSpPr>
        <xdr:cNvPr id="9" name="타원 8">
          <a:extLst>
            <a:ext uri="{FF2B5EF4-FFF2-40B4-BE49-F238E27FC236}">
              <a16:creationId xmlns:a16="http://schemas.microsoft.com/office/drawing/2014/main" id="{00000000-0008-0000-2600-000009000000}"/>
            </a:ext>
          </a:extLst>
        </xdr:cNvPr>
        <xdr:cNvSpPr/>
      </xdr:nvSpPr>
      <xdr:spPr>
        <a:xfrm>
          <a:off x="4963990" y="2017102"/>
          <a:ext cx="419100" cy="424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161925</xdr:colOff>
      <xdr:row>12</xdr:row>
      <xdr:rowOff>161925</xdr:rowOff>
    </xdr:from>
    <xdr:to>
      <xdr:col>10</xdr:col>
      <xdr:colOff>581025</xdr:colOff>
      <xdr:row>14</xdr:row>
      <xdr:rowOff>161925</xdr:rowOff>
    </xdr:to>
    <xdr:sp macro="" textlink="">
      <xdr:nvSpPr>
        <xdr:cNvPr id="10" name="타원 9">
          <a:extLst>
            <a:ext uri="{FF2B5EF4-FFF2-40B4-BE49-F238E27FC236}">
              <a16:creationId xmlns:a16="http://schemas.microsoft.com/office/drawing/2014/main" id="{00000000-0008-0000-2600-00000A000000}"/>
            </a:ext>
          </a:extLst>
        </xdr:cNvPr>
        <xdr:cNvSpPr/>
      </xdr:nvSpPr>
      <xdr:spPr>
        <a:xfrm>
          <a:off x="4983040" y="2711694"/>
          <a:ext cx="419100" cy="424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180975</xdr:colOff>
      <xdr:row>15</xdr:row>
      <xdr:rowOff>200025</xdr:rowOff>
    </xdr:from>
    <xdr:to>
      <xdr:col>10</xdr:col>
      <xdr:colOff>600075</xdr:colOff>
      <xdr:row>17</xdr:row>
      <xdr:rowOff>200025</xdr:rowOff>
    </xdr:to>
    <xdr:sp macro="" textlink="">
      <xdr:nvSpPr>
        <xdr:cNvPr id="11" name="타원 10">
          <a:extLst>
            <a:ext uri="{FF2B5EF4-FFF2-40B4-BE49-F238E27FC236}">
              <a16:creationId xmlns:a16="http://schemas.microsoft.com/office/drawing/2014/main" id="{00000000-0008-0000-2600-00000B000000}"/>
            </a:ext>
          </a:extLst>
        </xdr:cNvPr>
        <xdr:cNvSpPr/>
      </xdr:nvSpPr>
      <xdr:spPr>
        <a:xfrm>
          <a:off x="5002090" y="3387237"/>
          <a:ext cx="419100" cy="424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133350</xdr:colOff>
      <xdr:row>6</xdr:row>
      <xdr:rowOff>66675</xdr:rowOff>
    </xdr:from>
    <xdr:to>
      <xdr:col>14</xdr:col>
      <xdr:colOff>552450</xdr:colOff>
      <xdr:row>8</xdr:row>
      <xdr:rowOff>66675</xdr:rowOff>
    </xdr:to>
    <xdr:sp macro="" textlink="">
      <xdr:nvSpPr>
        <xdr:cNvPr id="12" name="타원 11">
          <a:extLst>
            <a:ext uri="{FF2B5EF4-FFF2-40B4-BE49-F238E27FC236}">
              <a16:creationId xmlns:a16="http://schemas.microsoft.com/office/drawing/2014/main" id="{00000000-0008-0000-2600-00000C000000}"/>
            </a:ext>
          </a:extLst>
        </xdr:cNvPr>
        <xdr:cNvSpPr/>
      </xdr:nvSpPr>
      <xdr:spPr>
        <a:xfrm>
          <a:off x="6968938" y="1344146"/>
          <a:ext cx="419100" cy="42582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142875</xdr:colOff>
      <xdr:row>9</xdr:row>
      <xdr:rowOff>104775</xdr:rowOff>
    </xdr:from>
    <xdr:to>
      <xdr:col>14</xdr:col>
      <xdr:colOff>561975</xdr:colOff>
      <xdr:row>11</xdr:row>
      <xdr:rowOff>104775</xdr:rowOff>
    </xdr:to>
    <xdr:sp macro="" textlink="">
      <xdr:nvSpPr>
        <xdr:cNvPr id="13" name="타원 12">
          <a:extLst>
            <a:ext uri="{FF2B5EF4-FFF2-40B4-BE49-F238E27FC236}">
              <a16:creationId xmlns:a16="http://schemas.microsoft.com/office/drawing/2014/main" id="{00000000-0008-0000-2600-00000D000000}"/>
            </a:ext>
          </a:extLst>
        </xdr:cNvPr>
        <xdr:cNvSpPr/>
      </xdr:nvSpPr>
      <xdr:spPr>
        <a:xfrm>
          <a:off x="6978463" y="2020981"/>
          <a:ext cx="419100" cy="42582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161925</xdr:colOff>
      <xdr:row>12</xdr:row>
      <xdr:rowOff>161925</xdr:rowOff>
    </xdr:from>
    <xdr:to>
      <xdr:col>14</xdr:col>
      <xdr:colOff>581025</xdr:colOff>
      <xdr:row>14</xdr:row>
      <xdr:rowOff>161925</xdr:rowOff>
    </xdr:to>
    <xdr:sp macro="" textlink="">
      <xdr:nvSpPr>
        <xdr:cNvPr id="14" name="타원 13">
          <a:extLst>
            <a:ext uri="{FF2B5EF4-FFF2-40B4-BE49-F238E27FC236}">
              <a16:creationId xmlns:a16="http://schemas.microsoft.com/office/drawing/2014/main" id="{00000000-0008-0000-2600-00000E000000}"/>
            </a:ext>
          </a:extLst>
        </xdr:cNvPr>
        <xdr:cNvSpPr/>
      </xdr:nvSpPr>
      <xdr:spPr>
        <a:xfrm>
          <a:off x="6997513" y="2716866"/>
          <a:ext cx="419100" cy="42582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180975</xdr:colOff>
      <xdr:row>15</xdr:row>
      <xdr:rowOff>200025</xdr:rowOff>
    </xdr:from>
    <xdr:to>
      <xdr:col>14</xdr:col>
      <xdr:colOff>600075</xdr:colOff>
      <xdr:row>17</xdr:row>
      <xdr:rowOff>200025</xdr:rowOff>
    </xdr:to>
    <xdr:sp macro="" textlink="">
      <xdr:nvSpPr>
        <xdr:cNvPr id="15" name="타원 14">
          <a:extLst>
            <a:ext uri="{FF2B5EF4-FFF2-40B4-BE49-F238E27FC236}">
              <a16:creationId xmlns:a16="http://schemas.microsoft.com/office/drawing/2014/main" id="{00000000-0008-0000-2600-00000F000000}"/>
            </a:ext>
          </a:extLst>
        </xdr:cNvPr>
        <xdr:cNvSpPr/>
      </xdr:nvSpPr>
      <xdr:spPr>
        <a:xfrm>
          <a:off x="7016563" y="3393701"/>
          <a:ext cx="419100" cy="42582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17</xdr:col>
      <xdr:colOff>109257</xdr:colOff>
      <xdr:row>10</xdr:row>
      <xdr:rowOff>138392</xdr:rowOff>
    </xdr:from>
    <xdr:to>
      <xdr:col>17</xdr:col>
      <xdr:colOff>528357</xdr:colOff>
      <xdr:row>12</xdr:row>
      <xdr:rowOff>138392</xdr:rowOff>
    </xdr:to>
    <xdr:sp macro="" textlink="">
      <xdr:nvSpPr>
        <xdr:cNvPr id="16" name="타원 15">
          <a:extLst>
            <a:ext uri="{FF2B5EF4-FFF2-40B4-BE49-F238E27FC236}">
              <a16:creationId xmlns:a16="http://schemas.microsoft.com/office/drawing/2014/main" id="{00000000-0008-0000-2600-000010000000}"/>
            </a:ext>
          </a:extLst>
        </xdr:cNvPr>
        <xdr:cNvSpPr/>
      </xdr:nvSpPr>
      <xdr:spPr>
        <a:xfrm>
          <a:off x="11729757" y="2267510"/>
          <a:ext cx="419100" cy="42582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676944</xdr:colOff>
      <xdr:row>35</xdr:row>
      <xdr:rowOff>191521</xdr:rowOff>
    </xdr:to>
    <xdr:pic>
      <xdr:nvPicPr>
        <xdr:cNvPr id="2" name="그림 1">
          <a:extLst>
            <a:ext uri="{FF2B5EF4-FFF2-40B4-BE49-F238E27FC236}">
              <a16:creationId xmlns:a16="http://schemas.microsoft.com/office/drawing/2014/main" id="{00000000-0008-0000-2700-000002000000}"/>
            </a:ext>
          </a:extLst>
        </xdr:cNvPr>
        <xdr:cNvPicPr>
          <a:picLocks noChangeAspect="1"/>
        </xdr:cNvPicPr>
      </xdr:nvPicPr>
      <xdr:blipFill>
        <a:blip xmlns:r="http://schemas.openxmlformats.org/officeDocument/2006/relationships" r:embed="rId1"/>
        <a:stretch>
          <a:fillRect/>
        </a:stretch>
      </xdr:blipFill>
      <xdr:spPr>
        <a:xfrm>
          <a:off x="685800" y="209550"/>
          <a:ext cx="4791744" cy="7316221"/>
        </a:xfrm>
        <a:prstGeom prst="rect">
          <a:avLst/>
        </a:prstGeom>
      </xdr:spPr>
    </xdr:pic>
    <xdr:clientData/>
  </xdr:twoCellAnchor>
  <xdr:twoCellAnchor>
    <xdr:from>
      <xdr:col>10</xdr:col>
      <xdr:colOff>38100</xdr:colOff>
      <xdr:row>6</xdr:row>
      <xdr:rowOff>171450</xdr:rowOff>
    </xdr:from>
    <xdr:to>
      <xdr:col>13</xdr:col>
      <xdr:colOff>152400</xdr:colOff>
      <xdr:row>15</xdr:row>
      <xdr:rowOff>171450</xdr:rowOff>
    </xdr:to>
    <xdr:cxnSp macro="">
      <xdr:nvCxnSpPr>
        <xdr:cNvPr id="4" name="직선 연결선 3">
          <a:extLst>
            <a:ext uri="{FF2B5EF4-FFF2-40B4-BE49-F238E27FC236}">
              <a16:creationId xmlns:a16="http://schemas.microsoft.com/office/drawing/2014/main" id="{00000000-0008-0000-2700-000004000000}"/>
            </a:ext>
          </a:extLst>
        </xdr:cNvPr>
        <xdr:cNvCxnSpPr/>
      </xdr:nvCxnSpPr>
      <xdr:spPr>
        <a:xfrm flipH="1">
          <a:off x="6896100" y="1428750"/>
          <a:ext cx="2171700" cy="1885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57150</xdr:colOff>
      <xdr:row>7</xdr:row>
      <xdr:rowOff>0</xdr:rowOff>
    </xdr:from>
    <xdr:to>
      <xdr:col>13</xdr:col>
      <xdr:colOff>114300</xdr:colOff>
      <xdr:row>15</xdr:row>
      <xdr:rowOff>152400</xdr:rowOff>
    </xdr:to>
    <xdr:sp macro="" textlink="">
      <xdr:nvSpPr>
        <xdr:cNvPr id="6" name="자유형 5">
          <a:extLst>
            <a:ext uri="{FF2B5EF4-FFF2-40B4-BE49-F238E27FC236}">
              <a16:creationId xmlns:a16="http://schemas.microsoft.com/office/drawing/2014/main" id="{00000000-0008-0000-2700-000006000000}"/>
            </a:ext>
          </a:extLst>
        </xdr:cNvPr>
        <xdr:cNvSpPr/>
      </xdr:nvSpPr>
      <xdr:spPr>
        <a:xfrm>
          <a:off x="6915150" y="1466850"/>
          <a:ext cx="2114550" cy="1828800"/>
        </a:xfrm>
        <a:custGeom>
          <a:avLst/>
          <a:gdLst>
            <a:gd name="connsiteX0" fmla="*/ 0 w 2114550"/>
            <a:gd name="connsiteY0" fmla="*/ 1828800 h 1828800"/>
            <a:gd name="connsiteX1" fmla="*/ 666750 w 2114550"/>
            <a:gd name="connsiteY1" fmla="*/ 457200 h 1828800"/>
            <a:gd name="connsiteX2" fmla="*/ 2114550 w 2114550"/>
            <a:gd name="connsiteY2" fmla="*/ 0 h 1828800"/>
          </a:gdLst>
          <a:ahLst/>
          <a:cxnLst>
            <a:cxn ang="0">
              <a:pos x="connsiteX0" y="connsiteY0"/>
            </a:cxn>
            <a:cxn ang="0">
              <a:pos x="connsiteX1" y="connsiteY1"/>
            </a:cxn>
            <a:cxn ang="0">
              <a:pos x="connsiteX2" y="connsiteY2"/>
            </a:cxn>
          </a:cxnLst>
          <a:rect l="l" t="t" r="r" b="b"/>
          <a:pathLst>
            <a:path w="2114550" h="1828800">
              <a:moveTo>
                <a:pt x="0" y="1828800"/>
              </a:moveTo>
              <a:cubicBezTo>
                <a:pt x="157162" y="1295400"/>
                <a:pt x="314325" y="762000"/>
                <a:pt x="666750" y="457200"/>
              </a:cubicBezTo>
              <a:cubicBezTo>
                <a:pt x="1019175" y="152400"/>
                <a:pt x="1566862" y="76200"/>
                <a:pt x="2114550" y="0"/>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34912</xdr:colOff>
      <xdr:row>5</xdr:row>
      <xdr:rowOff>203420</xdr:rowOff>
    </xdr:from>
    <xdr:to>
      <xdr:col>13</xdr:col>
      <xdr:colOff>171450</xdr:colOff>
      <xdr:row>15</xdr:row>
      <xdr:rowOff>142875</xdr:rowOff>
    </xdr:to>
    <xdr:sp macro="" textlink="">
      <xdr:nvSpPr>
        <xdr:cNvPr id="7" name="자유형 6">
          <a:extLst>
            <a:ext uri="{FF2B5EF4-FFF2-40B4-BE49-F238E27FC236}">
              <a16:creationId xmlns:a16="http://schemas.microsoft.com/office/drawing/2014/main" id="{00000000-0008-0000-2700-000007000000}"/>
            </a:ext>
          </a:extLst>
        </xdr:cNvPr>
        <xdr:cNvSpPr/>
      </xdr:nvSpPr>
      <xdr:spPr>
        <a:xfrm>
          <a:off x="6892912" y="1251170"/>
          <a:ext cx="2193938" cy="2034955"/>
        </a:xfrm>
        <a:custGeom>
          <a:avLst/>
          <a:gdLst>
            <a:gd name="connsiteX0" fmla="*/ 31763 w 2193938"/>
            <a:gd name="connsiteY0" fmla="*/ 2034955 h 2034955"/>
            <a:gd name="connsiteX1" fmla="*/ 298463 w 2193938"/>
            <a:gd name="connsiteY1" fmla="*/ 196630 h 2034955"/>
            <a:gd name="connsiteX2" fmla="*/ 2193938 w 2193938"/>
            <a:gd name="connsiteY2" fmla="*/ 139480 h 2034955"/>
          </a:gdLst>
          <a:ahLst/>
          <a:cxnLst>
            <a:cxn ang="0">
              <a:pos x="connsiteX0" y="connsiteY0"/>
            </a:cxn>
            <a:cxn ang="0">
              <a:pos x="connsiteX1" y="connsiteY1"/>
            </a:cxn>
            <a:cxn ang="0">
              <a:pos x="connsiteX2" y="connsiteY2"/>
            </a:cxn>
          </a:cxnLst>
          <a:rect l="l" t="t" r="r" b="b"/>
          <a:pathLst>
            <a:path w="2193938" h="2034955">
              <a:moveTo>
                <a:pt x="31763" y="2034955"/>
              </a:moveTo>
              <a:cubicBezTo>
                <a:pt x="-15068" y="1273748"/>
                <a:pt x="-61899" y="512542"/>
                <a:pt x="298463" y="196630"/>
              </a:cubicBezTo>
              <a:cubicBezTo>
                <a:pt x="658825" y="-119282"/>
                <a:pt x="1426381" y="10099"/>
                <a:pt x="2193938" y="13948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l"/>
          <a:endParaRPr lang="ko-KR" altLang="en-US" sz="1100"/>
        </a:p>
      </xdr:txBody>
    </xdr:sp>
    <xdr:clientData/>
  </xdr:twoCellAnchor>
  <xdr:twoCellAnchor editAs="oneCell">
    <xdr:from>
      <xdr:col>1</xdr:col>
      <xdr:colOff>0</xdr:colOff>
      <xdr:row>41</xdr:row>
      <xdr:rowOff>1</xdr:rowOff>
    </xdr:from>
    <xdr:to>
      <xdr:col>8</xdr:col>
      <xdr:colOff>447675</xdr:colOff>
      <xdr:row>59</xdr:row>
      <xdr:rowOff>1785</xdr:rowOff>
    </xdr:to>
    <xdr:pic>
      <xdr:nvPicPr>
        <xdr:cNvPr id="3" name="그림 2">
          <a:extLst>
            <a:ext uri="{FF2B5EF4-FFF2-40B4-BE49-F238E27FC236}">
              <a16:creationId xmlns:a16="http://schemas.microsoft.com/office/drawing/2014/main" id="{00000000-0008-0000-2700-000003000000}"/>
            </a:ext>
          </a:extLst>
        </xdr:cNvPr>
        <xdr:cNvPicPr>
          <a:picLocks noChangeAspect="1"/>
        </xdr:cNvPicPr>
      </xdr:nvPicPr>
      <xdr:blipFill>
        <a:blip xmlns:r="http://schemas.openxmlformats.org/officeDocument/2006/relationships" r:embed="rId2"/>
        <a:stretch>
          <a:fillRect/>
        </a:stretch>
      </xdr:blipFill>
      <xdr:spPr>
        <a:xfrm>
          <a:off x="685800" y="8591551"/>
          <a:ext cx="5248275" cy="3773684"/>
        </a:xfrm>
        <a:prstGeom prst="rect">
          <a:avLst/>
        </a:prstGeom>
      </xdr:spPr>
    </xdr:pic>
    <xdr:clientData/>
  </xdr:twoCellAnchor>
  <xdr:twoCellAnchor editAs="oneCell">
    <xdr:from>
      <xdr:col>0</xdr:col>
      <xdr:colOff>619125</xdr:colOff>
      <xdr:row>90</xdr:row>
      <xdr:rowOff>190500</xdr:rowOff>
    </xdr:from>
    <xdr:to>
      <xdr:col>12</xdr:col>
      <xdr:colOff>220168</xdr:colOff>
      <xdr:row>116</xdr:row>
      <xdr:rowOff>124576</xdr:rowOff>
    </xdr:to>
    <xdr:pic>
      <xdr:nvPicPr>
        <xdr:cNvPr id="5" name="그림 4">
          <a:extLst>
            <a:ext uri="{FF2B5EF4-FFF2-40B4-BE49-F238E27FC236}">
              <a16:creationId xmlns:a16="http://schemas.microsoft.com/office/drawing/2014/main" id="{00000000-0008-0000-2700-000005000000}"/>
            </a:ext>
          </a:extLst>
        </xdr:cNvPr>
        <xdr:cNvPicPr>
          <a:picLocks noChangeAspect="1"/>
        </xdr:cNvPicPr>
      </xdr:nvPicPr>
      <xdr:blipFill>
        <a:blip xmlns:r="http://schemas.openxmlformats.org/officeDocument/2006/relationships" r:embed="rId3"/>
        <a:stretch>
          <a:fillRect/>
        </a:stretch>
      </xdr:blipFill>
      <xdr:spPr>
        <a:xfrm>
          <a:off x="619125" y="19050000"/>
          <a:ext cx="7830643" cy="5382376"/>
        </a:xfrm>
        <a:prstGeom prst="rect">
          <a:avLst/>
        </a:prstGeom>
      </xdr:spPr>
    </xdr:pic>
    <xdr:clientData/>
  </xdr:twoCellAnchor>
  <xdr:twoCellAnchor>
    <xdr:from>
      <xdr:col>12</xdr:col>
      <xdr:colOff>381000</xdr:colOff>
      <xdr:row>62</xdr:row>
      <xdr:rowOff>149678</xdr:rowOff>
    </xdr:from>
    <xdr:to>
      <xdr:col>25</xdr:col>
      <xdr:colOff>178012</xdr:colOff>
      <xdr:row>89</xdr:row>
      <xdr:rowOff>111393</xdr:rowOff>
    </xdr:to>
    <xdr:sp macro="" textlink="">
      <xdr:nvSpPr>
        <xdr:cNvPr id="8" name="내용 개체 틀 2">
          <a:extLst>
            <a:ext uri="{FF2B5EF4-FFF2-40B4-BE49-F238E27FC236}">
              <a16:creationId xmlns:a16="http://schemas.microsoft.com/office/drawing/2014/main" id="{00000000-0008-0000-2700-000008000000}"/>
            </a:ext>
          </a:extLst>
        </xdr:cNvPr>
        <xdr:cNvSpPr>
          <a:spLocks noGrp="1"/>
        </xdr:cNvSpPr>
      </xdr:nvSpPr>
      <xdr:spPr bwMode="auto">
        <a:xfrm>
          <a:off x="8545286" y="12804321"/>
          <a:ext cx="8641655" cy="547260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91440" tIns="45720" rIns="91440" bIns="45720" numCol="1" anchor="t" anchorCtr="0" compatLnSpc="1">
          <a:prstTxWarp prst="textNoShape">
            <a:avLst/>
          </a:prstTxWarp>
        </a:bodyPr>
        <a:lstStyle>
          <a:lvl1pPr marL="266700" indent="-266700" algn="l" rtl="0" eaLnBrk="1" fontAlgn="base" latinLnBrk="1" hangingPunct="1">
            <a:lnSpc>
              <a:spcPct val="150000"/>
            </a:lnSpc>
            <a:spcBef>
              <a:spcPts val="0"/>
            </a:spcBef>
            <a:spcAft>
              <a:spcPct val="0"/>
            </a:spcAft>
            <a:buClr>
              <a:schemeClr val="tx1"/>
            </a:buClr>
            <a:buFont typeface="Wingdings" pitchFamily="2" charset="2"/>
            <a:buChar char="n"/>
            <a:defRPr sz="2000" b="1" kern="1200">
              <a:solidFill>
                <a:schemeClr val="tx1"/>
              </a:solidFill>
              <a:latin typeface="+mn-ea"/>
              <a:ea typeface="+mn-ea"/>
              <a:cs typeface="+mn-cs"/>
            </a:defRPr>
          </a:lvl1pPr>
          <a:lvl2pPr marL="447675" indent="-180975" algn="l" rtl="0" eaLnBrk="1" fontAlgn="base" latinLnBrk="1" hangingPunct="1">
            <a:lnSpc>
              <a:spcPct val="100000"/>
            </a:lnSpc>
            <a:spcBef>
              <a:spcPct val="20000"/>
            </a:spcBef>
            <a:spcAft>
              <a:spcPts val="400"/>
            </a:spcAft>
            <a:buClr>
              <a:schemeClr val="tx1">
                <a:lumMod val="65000"/>
                <a:lumOff val="35000"/>
              </a:schemeClr>
            </a:buClr>
            <a:buFont typeface="Wingdings" pitchFamily="2" charset="2"/>
            <a:buChar char="§"/>
            <a:defRPr sz="1800" kern="1200">
              <a:solidFill>
                <a:schemeClr val="tx1"/>
              </a:solidFill>
              <a:latin typeface="+mn-lt"/>
              <a:ea typeface="+mn-ea"/>
              <a:cs typeface="+mn-cs"/>
            </a:defRPr>
          </a:lvl2pPr>
          <a:lvl3pPr marL="628650" indent="-180975" algn="l" rtl="0" eaLnBrk="1" fontAlgn="base" latinLnBrk="1" hangingPunct="1">
            <a:lnSpc>
              <a:spcPct val="100000"/>
            </a:lnSpc>
            <a:spcBef>
              <a:spcPct val="20000"/>
            </a:spcBef>
            <a:spcAft>
              <a:spcPts val="300"/>
            </a:spcAft>
            <a:buClr>
              <a:schemeClr val="tx1"/>
            </a:buClr>
            <a:buFont typeface="Arial" charset="0"/>
            <a:buChar char="•"/>
            <a:defRPr sz="1600" kern="1200">
              <a:solidFill>
                <a:schemeClr val="tx1"/>
              </a:solidFill>
              <a:latin typeface="+mn-lt"/>
              <a:ea typeface="+mn-ea"/>
              <a:cs typeface="+mn-cs"/>
            </a:defRPr>
          </a:lvl3pPr>
          <a:lvl4pPr marL="809625" indent="-180975" algn="l" rtl="0" eaLnBrk="1" fontAlgn="base" latinLnBrk="1" hangingPunct="1">
            <a:lnSpc>
              <a:spcPct val="100000"/>
            </a:lnSpc>
            <a:spcBef>
              <a:spcPct val="20000"/>
            </a:spcBef>
            <a:spcAft>
              <a:spcPts val="300"/>
            </a:spcAft>
            <a:buSzPct val="96000"/>
            <a:buFont typeface="Arial" charset="0"/>
            <a:buChar char="–"/>
            <a:defRPr sz="1100" kern="1200">
              <a:solidFill>
                <a:schemeClr val="tx1"/>
              </a:solidFill>
              <a:latin typeface="+mn-lt"/>
              <a:ea typeface="+mn-ea"/>
              <a:cs typeface="+mn-cs"/>
            </a:defRPr>
          </a:lvl4pPr>
          <a:lvl5pPr marL="990600" indent="-180975" algn="l" rtl="0" eaLnBrk="1" fontAlgn="base" latinLnBrk="1" hangingPunct="1">
            <a:lnSpc>
              <a:spcPct val="100000"/>
            </a:lnSpc>
            <a:spcBef>
              <a:spcPct val="20000"/>
            </a:spcBef>
            <a:spcAft>
              <a:spcPct val="0"/>
            </a:spcAft>
            <a:buFont typeface="Arial" charset="0"/>
            <a:buChar char="»"/>
            <a:defRPr sz="1100" kern="1200">
              <a:solidFill>
                <a:schemeClr val="tx1"/>
              </a:solidFill>
              <a:latin typeface="+mn-lt"/>
              <a:ea typeface="+mn-ea"/>
              <a:cs typeface="+mn-cs"/>
            </a:defRPr>
          </a:lvl5pPr>
          <a:lvl6pPr marL="25146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6pPr>
          <a:lvl7pPr marL="29718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7pPr>
          <a:lvl8pPr marL="34290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8pPr>
          <a:lvl9pPr marL="38862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9pPr>
        </a:lstStyle>
        <a:p>
          <a:pPr lvl="1">
            <a:lnSpc>
              <a:spcPct val="150000"/>
            </a:lnSpc>
          </a:pPr>
          <a:r>
            <a:rPr lang="en-US" altLang="ko-KR"/>
            <a:t>AP </a:t>
          </a:r>
          <a:r>
            <a:rPr lang="ko-KR" altLang="en-US"/>
            <a:t>계산 알고리즘</a:t>
          </a:r>
          <a:endParaRPr lang="en-US" altLang="ko-KR"/>
        </a:p>
        <a:p>
          <a:pPr lvl="2">
            <a:lnSpc>
              <a:spcPct val="150000"/>
            </a:lnSpc>
          </a:pPr>
          <a:r>
            <a:rPr lang="ko-KR" altLang="en-US"/>
            <a:t>신뢰도</a:t>
          </a:r>
          <a:r>
            <a:rPr lang="en-US" altLang="ko-KR"/>
            <a:t> </a:t>
          </a:r>
          <a:r>
            <a:rPr lang="ko-KR" altLang="en-US"/>
            <a:t>임계값을 넘는 예측 박스만 예측 목록에 넣음</a:t>
          </a:r>
          <a:endParaRPr lang="en-US" altLang="ko-KR"/>
        </a:p>
        <a:p>
          <a:pPr lvl="2">
            <a:lnSpc>
              <a:spcPct val="150000"/>
            </a:lnSpc>
          </a:pPr>
          <a:r>
            <a:rPr lang="ko-KR" altLang="en-US"/>
            <a:t>예측 목록에 있는 박스를 신뢰도가 큰 것부터 순서대로 처리</a:t>
          </a:r>
          <a:endParaRPr lang="en-US" altLang="ko-KR"/>
        </a:p>
        <a:p>
          <a:pPr lvl="2">
            <a:lnSpc>
              <a:spcPct val="150000"/>
            </a:lnSpc>
          </a:pPr>
          <a:r>
            <a:rPr lang="ko-KR" altLang="en-US"/>
            <a:t>현재 처리하는</a:t>
          </a:r>
          <a:r>
            <a:rPr lang="en-US" altLang="ko-KR"/>
            <a:t> </a:t>
          </a:r>
          <a:r>
            <a:rPr lang="ko-KR" altLang="en-US"/>
            <a:t>예측 박스가 </a:t>
          </a:r>
          <a:r>
            <a:rPr lang="en-US" altLang="ko-KR"/>
            <a:t>IoU </a:t>
          </a:r>
          <a:r>
            <a:rPr lang="ko-KR" altLang="en-US"/>
            <a:t>임계값을 넘으면 참 긍정</a:t>
          </a:r>
          <a:r>
            <a:rPr lang="en-US" altLang="ko-KR"/>
            <a:t>(TP), </a:t>
          </a:r>
          <a:r>
            <a:rPr lang="ko-KR" altLang="en-US"/>
            <a:t>그렇지</a:t>
          </a:r>
          <a:r>
            <a:rPr lang="en-US" altLang="ko-KR"/>
            <a:t> </a:t>
          </a:r>
          <a:r>
            <a:rPr lang="ko-KR" altLang="en-US"/>
            <a:t>않으면 거짓 긍정</a:t>
          </a:r>
          <a:r>
            <a:rPr lang="en-US" altLang="ko-KR"/>
            <a:t>(FP)</a:t>
          </a:r>
          <a:r>
            <a:rPr lang="ko-KR" altLang="en-US"/>
            <a:t>으로 판정</a:t>
          </a:r>
          <a:r>
            <a:rPr lang="en-US" altLang="ko-KR"/>
            <a:t>(2</a:t>
          </a:r>
          <a:r>
            <a:rPr lang="ko-KR" altLang="en-US"/>
            <a:t>개 이상의 참값 박스와 겹치는 경우 </a:t>
          </a:r>
          <a:r>
            <a:rPr lang="en-US" altLang="ko-KR"/>
            <a:t>IoU</a:t>
          </a:r>
          <a:r>
            <a:rPr lang="ko-KR" altLang="en-US"/>
            <a:t>가 최대인 쌍 사용</a:t>
          </a:r>
          <a:r>
            <a:rPr lang="en-US" altLang="ko-KR"/>
            <a:t>)</a:t>
          </a:r>
        </a:p>
        <a:p>
          <a:pPr lvl="2">
            <a:lnSpc>
              <a:spcPct val="150000"/>
            </a:lnSpc>
          </a:pPr>
          <a:r>
            <a:rPr lang="ko-KR" altLang="en-US"/>
            <a:t>참 긍정이 발생하면 쌍이 된 참값 박스를 참값 목록에서 제거</a:t>
          </a:r>
          <a:r>
            <a:rPr lang="en-US" altLang="ko-KR"/>
            <a:t>(</a:t>
          </a:r>
          <a:r>
            <a:rPr lang="ko-KR" altLang="en-US"/>
            <a:t>이중으로 쌍 맺는 경우 방지</a:t>
          </a:r>
          <a:r>
            <a:rPr lang="en-US" altLang="ko-KR"/>
            <a:t>)</a:t>
          </a:r>
          <a:r>
            <a:rPr lang="ko-KR" altLang="en-US"/>
            <a:t> </a:t>
          </a:r>
          <a:endParaRPr lang="en-US" altLang="ko-KR"/>
        </a:p>
        <a:p>
          <a:pPr lvl="2">
            <a:lnSpc>
              <a:spcPct val="150000"/>
            </a:lnSpc>
          </a:pPr>
          <a:r>
            <a:rPr lang="ko-KR" altLang="en-US"/>
            <a:t>예측 목록을 다 처리했는데</a:t>
          </a:r>
          <a:r>
            <a:rPr lang="en-US" altLang="ko-KR"/>
            <a:t> </a:t>
          </a:r>
          <a:r>
            <a:rPr lang="ko-KR" altLang="en-US"/>
            <a:t>쌍을 맺지 못해 남아 있는 참값 박스는 거짓 부정</a:t>
          </a:r>
          <a:r>
            <a:rPr lang="en-US" altLang="ko-KR"/>
            <a:t>(FN) </a:t>
          </a:r>
          <a:r>
            <a:rPr lang="ko-KR" altLang="en-US"/>
            <a:t>판정</a:t>
          </a:r>
          <a:endParaRPr lang="en-US" altLang="ko-KR"/>
        </a:p>
        <a:p>
          <a:pPr lvl="2">
            <a:lnSpc>
              <a:spcPct val="150000"/>
            </a:lnSpc>
          </a:pPr>
          <a:r>
            <a:rPr lang="ko-KR" altLang="en-US"/>
            <a:t>이렇게 구한 </a:t>
          </a:r>
          <a:r>
            <a:rPr lang="en-US" altLang="ko-KR"/>
            <a:t>TP, FP, FN</a:t>
          </a:r>
          <a:r>
            <a:rPr lang="ko-KR" altLang="en-US"/>
            <a:t>을</a:t>
          </a:r>
          <a:r>
            <a:rPr lang="en-US" altLang="ko-KR"/>
            <a:t> </a:t>
          </a:r>
          <a:r>
            <a:rPr lang="ko-KR" altLang="en-US"/>
            <a:t>가지고 식 </a:t>
          </a:r>
          <a:r>
            <a:rPr lang="en-US" altLang="ko-KR"/>
            <a:t>(5.15)</a:t>
          </a:r>
          <a:r>
            <a:rPr lang="ko-KR" altLang="en-US"/>
            <a:t>의</a:t>
          </a:r>
          <a:r>
            <a:rPr lang="en-US" altLang="ko-KR"/>
            <a:t> </a:t>
          </a:r>
          <a:r>
            <a:rPr lang="ko-KR" altLang="en-US"/>
            <a:t>정밀도와</a:t>
          </a:r>
          <a:r>
            <a:rPr lang="en-US" altLang="ko-KR"/>
            <a:t> </a:t>
          </a:r>
          <a:r>
            <a:rPr lang="ko-KR" altLang="en-US"/>
            <a:t>재현률 계산</a:t>
          </a:r>
          <a:endParaRPr lang="en-US" altLang="ko-KR"/>
        </a:p>
        <a:p>
          <a:pPr lvl="2">
            <a:lnSpc>
              <a:spcPct val="150000"/>
            </a:lnSpc>
          </a:pPr>
          <a:endParaRPr lang="en-US" altLang="ko-KR"/>
        </a:p>
        <a:p>
          <a:pPr lvl="2">
            <a:lnSpc>
              <a:spcPct val="150000"/>
            </a:lnSpc>
          </a:pPr>
          <a:endParaRPr lang="en-US" altLang="ko-KR"/>
        </a:p>
        <a:p>
          <a:pPr lvl="2">
            <a:lnSpc>
              <a:spcPct val="150000"/>
            </a:lnSpc>
          </a:pPr>
          <a:endParaRPr lang="en-US" altLang="ko-KR"/>
        </a:p>
      </xdr:txBody>
    </xdr:sp>
    <xdr:clientData/>
  </xdr:twoCellAnchor>
  <xdr:twoCellAnchor>
    <xdr:from>
      <xdr:col>12</xdr:col>
      <xdr:colOff>142875</xdr:colOff>
      <xdr:row>89</xdr:row>
      <xdr:rowOff>171450</xdr:rowOff>
    </xdr:from>
    <xdr:to>
      <xdr:col>24</xdr:col>
      <xdr:colOff>620244</xdr:colOff>
      <xdr:row>116</xdr:row>
      <xdr:rowOff>127722</xdr:rowOff>
    </xdr:to>
    <xdr:sp macro="" textlink="">
      <xdr:nvSpPr>
        <xdr:cNvPr id="9" name="내용 개체 틀 2">
          <a:extLst>
            <a:ext uri="{FF2B5EF4-FFF2-40B4-BE49-F238E27FC236}">
              <a16:creationId xmlns:a16="http://schemas.microsoft.com/office/drawing/2014/main" id="{00000000-0008-0000-2700-000009000000}"/>
            </a:ext>
          </a:extLst>
        </xdr:cNvPr>
        <xdr:cNvSpPr>
          <a:spLocks noGrp="1"/>
        </xdr:cNvSpPr>
      </xdr:nvSpPr>
      <xdr:spPr bwMode="auto">
        <a:xfrm>
          <a:off x="8372475" y="18821400"/>
          <a:ext cx="8706969" cy="561412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91440" tIns="45720" rIns="91440" bIns="45720" numCol="1" anchor="t" anchorCtr="0" compatLnSpc="1">
          <a:prstTxWarp prst="textNoShape">
            <a:avLst/>
          </a:prstTxWarp>
        </a:bodyPr>
        <a:lstStyle>
          <a:lvl1pPr marL="266700" indent="-266700" algn="l" rtl="0" eaLnBrk="1" fontAlgn="base" latinLnBrk="1" hangingPunct="1">
            <a:lnSpc>
              <a:spcPct val="150000"/>
            </a:lnSpc>
            <a:spcBef>
              <a:spcPts val="0"/>
            </a:spcBef>
            <a:spcAft>
              <a:spcPct val="0"/>
            </a:spcAft>
            <a:buClr>
              <a:schemeClr val="tx1"/>
            </a:buClr>
            <a:buFont typeface="Wingdings" pitchFamily="2" charset="2"/>
            <a:buChar char="n"/>
            <a:defRPr sz="2000" b="1" kern="1200">
              <a:solidFill>
                <a:schemeClr val="tx1"/>
              </a:solidFill>
              <a:latin typeface="+mn-ea"/>
              <a:ea typeface="+mn-ea"/>
              <a:cs typeface="+mn-cs"/>
            </a:defRPr>
          </a:lvl1pPr>
          <a:lvl2pPr marL="447675" indent="-180975" algn="l" rtl="0" eaLnBrk="1" fontAlgn="base" latinLnBrk="1" hangingPunct="1">
            <a:lnSpc>
              <a:spcPct val="100000"/>
            </a:lnSpc>
            <a:spcBef>
              <a:spcPct val="20000"/>
            </a:spcBef>
            <a:spcAft>
              <a:spcPts val="400"/>
            </a:spcAft>
            <a:buClr>
              <a:schemeClr val="tx1">
                <a:lumMod val="65000"/>
                <a:lumOff val="35000"/>
              </a:schemeClr>
            </a:buClr>
            <a:buFont typeface="Wingdings" pitchFamily="2" charset="2"/>
            <a:buChar char="§"/>
            <a:defRPr sz="1800" kern="1200">
              <a:solidFill>
                <a:schemeClr val="tx1"/>
              </a:solidFill>
              <a:latin typeface="+mn-lt"/>
              <a:ea typeface="+mn-ea"/>
              <a:cs typeface="+mn-cs"/>
            </a:defRPr>
          </a:lvl2pPr>
          <a:lvl3pPr marL="628650" indent="-180975" algn="l" rtl="0" eaLnBrk="1" fontAlgn="base" latinLnBrk="1" hangingPunct="1">
            <a:lnSpc>
              <a:spcPct val="100000"/>
            </a:lnSpc>
            <a:spcBef>
              <a:spcPct val="20000"/>
            </a:spcBef>
            <a:spcAft>
              <a:spcPts val="300"/>
            </a:spcAft>
            <a:buClr>
              <a:schemeClr val="tx1"/>
            </a:buClr>
            <a:buFont typeface="Arial" charset="0"/>
            <a:buChar char="•"/>
            <a:defRPr sz="1600" kern="1200">
              <a:solidFill>
                <a:schemeClr val="tx1"/>
              </a:solidFill>
              <a:latin typeface="+mn-lt"/>
              <a:ea typeface="+mn-ea"/>
              <a:cs typeface="+mn-cs"/>
            </a:defRPr>
          </a:lvl3pPr>
          <a:lvl4pPr marL="809625" indent="-180975" algn="l" rtl="0" eaLnBrk="1" fontAlgn="base" latinLnBrk="1" hangingPunct="1">
            <a:lnSpc>
              <a:spcPct val="100000"/>
            </a:lnSpc>
            <a:spcBef>
              <a:spcPct val="20000"/>
            </a:spcBef>
            <a:spcAft>
              <a:spcPts val="300"/>
            </a:spcAft>
            <a:buSzPct val="96000"/>
            <a:buFont typeface="Arial" charset="0"/>
            <a:buChar char="–"/>
            <a:defRPr sz="1100" kern="1200">
              <a:solidFill>
                <a:schemeClr val="tx1"/>
              </a:solidFill>
              <a:latin typeface="+mn-lt"/>
              <a:ea typeface="+mn-ea"/>
              <a:cs typeface="+mn-cs"/>
            </a:defRPr>
          </a:lvl4pPr>
          <a:lvl5pPr marL="990600" indent="-180975" algn="l" rtl="0" eaLnBrk="1" fontAlgn="base" latinLnBrk="1" hangingPunct="1">
            <a:lnSpc>
              <a:spcPct val="100000"/>
            </a:lnSpc>
            <a:spcBef>
              <a:spcPct val="20000"/>
            </a:spcBef>
            <a:spcAft>
              <a:spcPct val="0"/>
            </a:spcAft>
            <a:buFont typeface="Arial" charset="0"/>
            <a:buChar char="»"/>
            <a:defRPr sz="1100" kern="1200">
              <a:solidFill>
                <a:schemeClr val="tx1"/>
              </a:solidFill>
              <a:latin typeface="+mn-lt"/>
              <a:ea typeface="+mn-ea"/>
              <a:cs typeface="+mn-cs"/>
            </a:defRPr>
          </a:lvl5pPr>
          <a:lvl6pPr marL="25146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6pPr>
          <a:lvl7pPr marL="29718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7pPr>
          <a:lvl8pPr marL="34290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8pPr>
          <a:lvl9pPr marL="38862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9pPr>
        </a:lstStyle>
        <a:p>
          <a:pPr>
            <a:lnSpc>
              <a:spcPct val="100000"/>
            </a:lnSpc>
          </a:pPr>
          <a:r>
            <a:rPr lang="en-US" altLang="ko-KR"/>
            <a:t>[</a:t>
          </a:r>
          <a:r>
            <a:rPr lang="ko-KR" altLang="en-US"/>
            <a:t>예시 </a:t>
          </a:r>
          <a:r>
            <a:rPr lang="en-US" altLang="ko-KR"/>
            <a:t>9-1]</a:t>
          </a:r>
        </a:p>
        <a:p>
          <a:pPr lvl="1"/>
          <a:r>
            <a:rPr lang="en-US" altLang="ko-KR"/>
            <a:t>[</a:t>
          </a:r>
          <a:r>
            <a:rPr lang="ko-KR" altLang="en-US"/>
            <a:t>그림 </a:t>
          </a:r>
          <a:r>
            <a:rPr lang="en-US" altLang="ko-KR"/>
            <a:t>9-15(a)] </a:t>
          </a:r>
          <a:r>
            <a:rPr lang="ko-KR" altLang="en-US"/>
            <a:t>신뢰도 임곗값 </a:t>
          </a:r>
          <a:r>
            <a:rPr lang="en-US" altLang="ko-KR"/>
            <a:t>0.6, IoU </a:t>
          </a:r>
          <a:r>
            <a:rPr lang="ko-KR" altLang="en-US"/>
            <a:t>임곗값 </a:t>
          </a:r>
          <a:r>
            <a:rPr lang="en-US" altLang="ko-KR"/>
            <a:t>0.5</a:t>
          </a:r>
          <a:r>
            <a:rPr lang="ko-KR" altLang="en-US"/>
            <a:t>인</a:t>
          </a:r>
          <a:r>
            <a:rPr lang="en-US" altLang="ko-KR"/>
            <a:t> </a:t>
          </a:r>
          <a:r>
            <a:rPr lang="ko-KR" altLang="en-US"/>
            <a:t>경우</a:t>
          </a:r>
          <a:endParaRPr lang="en-US" altLang="ko-KR"/>
        </a:p>
        <a:p>
          <a:pPr lvl="2"/>
          <a:r>
            <a:rPr lang="ko-KR" altLang="en-US"/>
            <a:t>신뢰도 임곗값을 넘긴 예측 박스 목록은 </a:t>
          </a:r>
          <a:r>
            <a:rPr lang="en-US" altLang="ko-KR"/>
            <a:t>{ⓐ,ⓑ,ⓓ}</a:t>
          </a:r>
          <a:r>
            <a:rPr lang="ko-KR" altLang="en-US"/>
            <a:t>임</a:t>
          </a:r>
          <a:r>
            <a:rPr lang="en-US" altLang="ko-KR"/>
            <a:t>. </a:t>
          </a:r>
          <a:r>
            <a:rPr lang="ko-KR" altLang="en-US"/>
            <a:t>신뢰도로 정렬하면 </a:t>
          </a:r>
          <a:r>
            <a:rPr lang="en-US" altLang="ko-KR"/>
            <a:t>ⓑ</a:t>
          </a:r>
          <a:r>
            <a:rPr lang="en-US" altLang="ko-KR">
              <a:sym typeface="Wingdings" panose="05000000000000000000" pitchFamily="2" charset="2"/>
            </a:rPr>
            <a:t></a:t>
          </a:r>
          <a:r>
            <a:rPr lang="en-US" altLang="ko-KR"/>
            <a:t>ⓓ</a:t>
          </a:r>
          <a:r>
            <a:rPr lang="en-US" altLang="ko-KR">
              <a:sym typeface="Wingdings" panose="05000000000000000000" pitchFamily="2" charset="2"/>
            </a:rPr>
            <a:t></a:t>
          </a:r>
          <a:r>
            <a:rPr lang="en-US" altLang="ko-KR"/>
            <a:t>ⓐ</a:t>
          </a:r>
        </a:p>
        <a:p>
          <a:pPr lvl="2"/>
          <a:r>
            <a:rPr lang="en-US" altLang="ko-KR"/>
            <a:t>ⓑ</a:t>
          </a:r>
          <a:r>
            <a:rPr lang="ko-KR" altLang="en-US"/>
            <a:t>를 처리</a:t>
          </a:r>
          <a:r>
            <a:rPr lang="en-US" altLang="ko-KR"/>
            <a:t>. ⓑ</a:t>
          </a:r>
          <a:r>
            <a:rPr lang="ko-KR" altLang="en-US"/>
            <a:t>는 ②</a:t>
          </a:r>
          <a:r>
            <a:rPr lang="en-US" altLang="ko-KR"/>
            <a:t>,</a:t>
          </a:r>
          <a:r>
            <a:rPr lang="ko-KR" altLang="en-US"/>
            <a:t>③과 겹치는데 ②의 </a:t>
          </a:r>
          <a:r>
            <a:rPr lang="en-US" altLang="ko-KR"/>
            <a:t>IoU</a:t>
          </a:r>
          <a:r>
            <a:rPr lang="ko-KR" altLang="en-US"/>
            <a:t>가</a:t>
          </a:r>
          <a:r>
            <a:rPr lang="en-US" altLang="ko-KR"/>
            <a:t> 0.86</a:t>
          </a:r>
          <a:r>
            <a:rPr lang="ko-KR" altLang="en-US"/>
            <a:t>으로</a:t>
          </a:r>
          <a:r>
            <a:rPr lang="en-US" altLang="ko-KR"/>
            <a:t> </a:t>
          </a:r>
          <a:r>
            <a:rPr lang="ko-KR" altLang="en-US"/>
            <a:t>더 크므로 </a:t>
          </a:r>
          <a:r>
            <a:rPr lang="en-US" altLang="ko-KR">
              <a:solidFill>
                <a:srgbClr val="FF0000"/>
              </a:solidFill>
            </a:rPr>
            <a:t>ⓑ-</a:t>
          </a:r>
          <a:r>
            <a:rPr lang="ko-KR" altLang="en-US">
              <a:solidFill>
                <a:srgbClr val="FF0000"/>
              </a:solidFill>
            </a:rPr>
            <a:t>② 쌍을 맺고 </a:t>
          </a:r>
          <a:r>
            <a:rPr lang="en-US" altLang="ko-KR">
              <a:solidFill>
                <a:srgbClr val="FF0000"/>
              </a:solidFill>
            </a:rPr>
            <a:t>TP</a:t>
          </a:r>
          <a:r>
            <a:rPr lang="ko-KR" altLang="en-US"/>
            <a:t>로 판단</a:t>
          </a:r>
          <a:r>
            <a:rPr lang="en-US" altLang="ko-KR"/>
            <a:t>. </a:t>
          </a:r>
          <a:r>
            <a:rPr lang="ko-KR" altLang="en-US"/>
            <a:t>②를 참값 목록에서 제거</a:t>
          </a:r>
          <a:endParaRPr lang="en-US" altLang="ko-KR"/>
        </a:p>
        <a:p>
          <a:pPr lvl="2"/>
          <a:r>
            <a:rPr lang="en-US" altLang="ko-KR"/>
            <a:t>ⓓ</a:t>
          </a:r>
          <a:r>
            <a:rPr lang="ko-KR" altLang="en-US"/>
            <a:t>를 처리</a:t>
          </a:r>
          <a:r>
            <a:rPr lang="en-US" altLang="ko-KR"/>
            <a:t>. ⓓ</a:t>
          </a:r>
          <a:r>
            <a:rPr lang="ko-KR" altLang="en-US"/>
            <a:t>는 ④와 </a:t>
          </a:r>
          <a:r>
            <a:rPr lang="en-US" altLang="ko-KR"/>
            <a:t>IoU</a:t>
          </a:r>
          <a:r>
            <a:rPr lang="ko-KR" altLang="en-US"/>
            <a:t>가 </a:t>
          </a:r>
          <a:r>
            <a:rPr lang="en-US" altLang="ko-KR"/>
            <a:t>0.12</a:t>
          </a:r>
          <a:r>
            <a:rPr lang="ko-KR" altLang="en-US"/>
            <a:t>인데 </a:t>
          </a:r>
          <a:r>
            <a:rPr lang="en-US" altLang="ko-KR"/>
            <a:t>IoU </a:t>
          </a:r>
          <a:r>
            <a:rPr lang="ko-KR" altLang="en-US"/>
            <a:t>임곗값을 넘지 못해 </a:t>
          </a:r>
          <a:r>
            <a:rPr lang="en-US" altLang="ko-KR"/>
            <a:t>ⓓ</a:t>
          </a:r>
          <a:r>
            <a:rPr lang="ko-KR" altLang="en-US"/>
            <a:t>를 </a:t>
          </a:r>
          <a:r>
            <a:rPr lang="en-US" altLang="ko-KR"/>
            <a:t>FP</a:t>
          </a:r>
          <a:r>
            <a:rPr lang="ko-KR" altLang="en-US"/>
            <a:t>로 판정</a:t>
          </a:r>
          <a:endParaRPr lang="en-US" altLang="ko-KR"/>
        </a:p>
        <a:p>
          <a:pPr lvl="2"/>
          <a:r>
            <a:rPr lang="en-US" altLang="ko-KR"/>
            <a:t>ⓐ</a:t>
          </a:r>
          <a:r>
            <a:rPr lang="ko-KR" altLang="en-US"/>
            <a:t>를 처리</a:t>
          </a:r>
          <a:r>
            <a:rPr lang="en-US" altLang="ko-KR"/>
            <a:t>. ⓐ</a:t>
          </a:r>
          <a:r>
            <a:rPr lang="ko-KR" altLang="en-US"/>
            <a:t>와 ①은 </a:t>
          </a:r>
          <a:r>
            <a:rPr lang="en-US" altLang="ko-KR"/>
            <a:t>IoU </a:t>
          </a:r>
          <a:r>
            <a:rPr lang="ko-KR" altLang="en-US"/>
            <a:t>임곗값을 넘기므로 </a:t>
          </a:r>
          <a:r>
            <a:rPr lang="en-US" altLang="ko-KR">
              <a:solidFill>
                <a:srgbClr val="FF0000"/>
              </a:solidFill>
            </a:rPr>
            <a:t>ⓐ-</a:t>
          </a:r>
          <a:r>
            <a:rPr lang="ko-KR" altLang="en-US">
              <a:solidFill>
                <a:srgbClr val="FF0000"/>
              </a:solidFill>
            </a:rPr>
            <a:t>① 쌍을 맺고 </a:t>
          </a:r>
          <a:r>
            <a:rPr lang="en-US" altLang="ko-KR">
              <a:solidFill>
                <a:srgbClr val="FF0000"/>
              </a:solidFill>
            </a:rPr>
            <a:t>TP </a:t>
          </a:r>
          <a:r>
            <a:rPr lang="ko-KR" altLang="en-US"/>
            <a:t>판정</a:t>
          </a:r>
          <a:endParaRPr lang="en-US" altLang="ko-KR"/>
        </a:p>
        <a:p>
          <a:pPr lvl="2"/>
          <a:r>
            <a:rPr lang="ko-KR" altLang="en-US"/>
            <a:t> 참값 목록에 남아있는 ③</a:t>
          </a:r>
          <a:r>
            <a:rPr lang="en-US" altLang="ko-KR"/>
            <a:t>, </a:t>
          </a:r>
          <a:r>
            <a:rPr lang="ko-KR" altLang="en-US"/>
            <a:t>④를 </a:t>
          </a:r>
          <a:r>
            <a:rPr lang="en-US" altLang="ko-KR"/>
            <a:t>FN </a:t>
          </a:r>
          <a:r>
            <a:rPr lang="ko-KR" altLang="en-US"/>
            <a:t>판정</a:t>
          </a:r>
          <a:endParaRPr lang="en-US" altLang="ko-KR"/>
        </a:p>
        <a:p>
          <a:pPr lvl="2"/>
          <a:endParaRPr lang="en-US" altLang="ko-KR"/>
        </a:p>
        <a:p>
          <a:pPr lvl="3"/>
          <a:endParaRPr lang="en-US" altLang="ko-KR"/>
        </a:p>
        <a:p>
          <a:pPr lvl="3"/>
          <a:endParaRPr lang="en-US" altLang="ko-KR"/>
        </a:p>
        <a:p>
          <a:pPr marL="628650" lvl="3" indent="0">
            <a:buNone/>
          </a:pPr>
          <a:endParaRPr lang="en-US" altLang="ko-KR"/>
        </a:p>
        <a:p>
          <a:pPr lvl="1"/>
          <a:r>
            <a:rPr lang="en-US" altLang="ko-KR"/>
            <a:t>[</a:t>
          </a:r>
          <a:r>
            <a:rPr lang="ko-KR" altLang="en-US"/>
            <a:t>그림 </a:t>
          </a:r>
          <a:r>
            <a:rPr lang="en-US" altLang="ko-KR"/>
            <a:t>9-15(b)] </a:t>
          </a:r>
          <a:r>
            <a:rPr lang="ko-KR" altLang="en-US"/>
            <a:t>신뢰도 임곗값 </a:t>
          </a:r>
          <a:r>
            <a:rPr lang="en-US" altLang="ko-KR"/>
            <a:t>0.5, IoU </a:t>
          </a:r>
          <a:r>
            <a:rPr lang="ko-KR" altLang="en-US"/>
            <a:t>임곗값 </a:t>
          </a:r>
          <a:r>
            <a:rPr lang="en-US" altLang="ko-KR"/>
            <a:t>0.5</a:t>
          </a:r>
          <a:r>
            <a:rPr lang="ko-KR" altLang="en-US"/>
            <a:t>인</a:t>
          </a:r>
          <a:r>
            <a:rPr lang="en-US" altLang="ko-KR"/>
            <a:t> </a:t>
          </a:r>
          <a:r>
            <a:rPr lang="ko-KR" altLang="en-US"/>
            <a:t>경우</a:t>
          </a:r>
          <a:endParaRPr lang="en-US" altLang="ko-KR"/>
        </a:p>
        <a:p>
          <a:pPr lvl="2"/>
          <a:r>
            <a:rPr lang="ko-KR" altLang="en-US"/>
            <a:t>신뢰도 임곗값 </a:t>
          </a:r>
          <a:r>
            <a:rPr lang="en-US" altLang="ko-KR"/>
            <a:t>0.5</a:t>
          </a:r>
          <a:r>
            <a:rPr lang="ko-KR" altLang="en-US"/>
            <a:t>로 낮추고 같은 과정을 적용하면 </a:t>
          </a:r>
          <a:endParaRPr lang="en-US" altLang="ko-KR"/>
        </a:p>
        <a:p>
          <a:pPr lvl="3">
            <a:lnSpc>
              <a:spcPct val="150000"/>
            </a:lnSpc>
          </a:pPr>
          <a:endParaRPr lang="en-US" altLang="ko-KR"/>
        </a:p>
        <a:p>
          <a:pPr lvl="2">
            <a:lnSpc>
              <a:spcPct val="150000"/>
            </a:lnSpc>
          </a:pPr>
          <a:endParaRPr lang="en-US" altLang="ko-KR"/>
        </a:p>
        <a:p>
          <a:pPr lvl="2">
            <a:lnSpc>
              <a:spcPct val="150000"/>
            </a:lnSpc>
          </a:pPr>
          <a:endParaRPr lang="en-US" altLang="ko-KR"/>
        </a:p>
        <a:p>
          <a:pPr lvl="2">
            <a:lnSpc>
              <a:spcPct val="150000"/>
            </a:lnSpc>
          </a:pPr>
          <a:endParaRPr lang="en-US" altLang="ko-KR"/>
        </a:p>
        <a:p>
          <a:pPr lvl="2">
            <a:lnSpc>
              <a:spcPct val="150000"/>
            </a:lnSpc>
          </a:pPr>
          <a:endParaRPr lang="en-US" altLang="ko-KR"/>
        </a:p>
      </xdr:txBody>
    </xdr:sp>
    <xdr:clientData/>
  </xdr:twoCellAnchor>
  <xdr:twoCellAnchor editAs="oneCell">
    <xdr:from>
      <xdr:col>11</xdr:col>
      <xdr:colOff>200025</xdr:colOff>
      <xdr:row>120</xdr:row>
      <xdr:rowOff>47625</xdr:rowOff>
    </xdr:from>
    <xdr:to>
      <xdr:col>27</xdr:col>
      <xdr:colOff>106293</xdr:colOff>
      <xdr:row>139</xdr:row>
      <xdr:rowOff>48181</xdr:rowOff>
    </xdr:to>
    <xdr:pic>
      <xdr:nvPicPr>
        <xdr:cNvPr id="10" name="그림 9">
          <a:extLst>
            <a:ext uri="{FF2B5EF4-FFF2-40B4-BE49-F238E27FC236}">
              <a16:creationId xmlns:a16="http://schemas.microsoft.com/office/drawing/2014/main" id="{00000000-0008-0000-2700-00000A000000}"/>
            </a:ext>
          </a:extLst>
        </xdr:cNvPr>
        <xdr:cNvPicPr>
          <a:picLocks noChangeAspect="1"/>
        </xdr:cNvPicPr>
      </xdr:nvPicPr>
      <xdr:blipFill>
        <a:blip xmlns:r="http://schemas.openxmlformats.org/officeDocument/2006/relationships" r:embed="rId4"/>
        <a:stretch>
          <a:fillRect/>
        </a:stretch>
      </xdr:blipFill>
      <xdr:spPr>
        <a:xfrm>
          <a:off x="7743825" y="25193625"/>
          <a:ext cx="10879068" cy="3982006"/>
        </a:xfrm>
        <a:prstGeom prst="rect">
          <a:avLst/>
        </a:prstGeom>
      </xdr:spPr>
    </xdr:pic>
    <xdr:clientData/>
  </xdr:twoCellAnchor>
  <xdr:twoCellAnchor editAs="oneCell">
    <xdr:from>
      <xdr:col>2</xdr:col>
      <xdr:colOff>0</xdr:colOff>
      <xdr:row>138</xdr:row>
      <xdr:rowOff>0</xdr:rowOff>
    </xdr:from>
    <xdr:to>
      <xdr:col>17</xdr:col>
      <xdr:colOff>298174</xdr:colOff>
      <xdr:row>169</xdr:row>
      <xdr:rowOff>58065</xdr:rowOff>
    </xdr:to>
    <xdr:pic>
      <xdr:nvPicPr>
        <xdr:cNvPr id="11" name="그림 10">
          <a:extLst>
            <a:ext uri="{FF2B5EF4-FFF2-40B4-BE49-F238E27FC236}">
              <a16:creationId xmlns:a16="http://schemas.microsoft.com/office/drawing/2014/main" id="{00000000-0008-0000-2700-00000B000000}"/>
            </a:ext>
          </a:extLst>
        </xdr:cNvPr>
        <xdr:cNvPicPr>
          <a:picLocks noChangeAspect="1"/>
        </xdr:cNvPicPr>
      </xdr:nvPicPr>
      <xdr:blipFill>
        <a:blip xmlns:r="http://schemas.openxmlformats.org/officeDocument/2006/relationships" r:embed="rId5"/>
        <a:stretch>
          <a:fillRect/>
        </a:stretch>
      </xdr:blipFill>
      <xdr:spPr>
        <a:xfrm>
          <a:off x="1374913" y="28575000"/>
          <a:ext cx="10610022" cy="6477087"/>
        </a:xfrm>
        <a:prstGeom prst="rect">
          <a:avLst/>
        </a:prstGeom>
      </xdr:spPr>
    </xdr:pic>
    <xdr:clientData/>
  </xdr:twoCellAnchor>
  <xdr:twoCellAnchor>
    <xdr:from>
      <xdr:col>21</xdr:col>
      <xdr:colOff>7327</xdr:colOff>
      <xdr:row>128</xdr:row>
      <xdr:rowOff>146538</xdr:rowOff>
    </xdr:from>
    <xdr:to>
      <xdr:col>22</xdr:col>
      <xdr:colOff>175846</xdr:colOff>
      <xdr:row>137</xdr:row>
      <xdr:rowOff>0</xdr:rowOff>
    </xdr:to>
    <xdr:sp macro="" textlink="">
      <xdr:nvSpPr>
        <xdr:cNvPr id="12" name="직사각형 11">
          <a:extLst>
            <a:ext uri="{FF2B5EF4-FFF2-40B4-BE49-F238E27FC236}">
              <a16:creationId xmlns:a16="http://schemas.microsoft.com/office/drawing/2014/main" id="{00000000-0008-0000-2700-00000C000000}"/>
            </a:ext>
          </a:extLst>
        </xdr:cNvPr>
        <xdr:cNvSpPr/>
      </xdr:nvSpPr>
      <xdr:spPr>
        <a:xfrm>
          <a:off x="14470673" y="27344076"/>
          <a:ext cx="857250" cy="176578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5.xml><?xml version="1.0" encoding="utf-8"?>
<xdr:wsDr xmlns:xdr="http://schemas.openxmlformats.org/drawingml/2006/spreadsheetDrawing" xmlns:a="http://schemas.openxmlformats.org/drawingml/2006/main">
  <xdr:twoCellAnchor editAs="oneCell">
    <xdr:from>
      <xdr:col>2</xdr:col>
      <xdr:colOff>47625</xdr:colOff>
      <xdr:row>22</xdr:row>
      <xdr:rowOff>175905</xdr:rowOff>
    </xdr:from>
    <xdr:to>
      <xdr:col>13</xdr:col>
      <xdr:colOff>375742</xdr:colOff>
      <xdr:row>35</xdr:row>
      <xdr:rowOff>72062</xdr:rowOff>
    </xdr:to>
    <xdr:pic>
      <xdr:nvPicPr>
        <xdr:cNvPr id="3" name="그림 2">
          <a:extLst>
            <a:ext uri="{FF2B5EF4-FFF2-40B4-BE49-F238E27FC236}">
              <a16:creationId xmlns:a16="http://schemas.microsoft.com/office/drawing/2014/main" id="{00000000-0008-0000-2900-000003000000}"/>
            </a:ext>
          </a:extLst>
        </xdr:cNvPr>
        <xdr:cNvPicPr>
          <a:picLocks noChangeAspect="1"/>
        </xdr:cNvPicPr>
      </xdr:nvPicPr>
      <xdr:blipFill>
        <a:blip xmlns:r="http://schemas.openxmlformats.org/officeDocument/2006/relationships" r:embed="rId1"/>
        <a:stretch>
          <a:fillRect/>
        </a:stretch>
      </xdr:blipFill>
      <xdr:spPr>
        <a:xfrm>
          <a:off x="1416844" y="4866968"/>
          <a:ext cx="7858820" cy="2604828"/>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25</xdr:col>
      <xdr:colOff>99391</xdr:colOff>
      <xdr:row>64</xdr:row>
      <xdr:rowOff>8206</xdr:rowOff>
    </xdr:from>
    <xdr:to>
      <xdr:col>39</xdr:col>
      <xdr:colOff>605378</xdr:colOff>
      <xdr:row>79</xdr:row>
      <xdr:rowOff>6936</xdr:rowOff>
    </xdr:to>
    <xdr:pic>
      <xdr:nvPicPr>
        <xdr:cNvPr id="2" name="그림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7644848" y="13260380"/>
          <a:ext cx="5318182" cy="3320056"/>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9</xdr:col>
      <xdr:colOff>486813</xdr:colOff>
      <xdr:row>27</xdr:row>
      <xdr:rowOff>104169</xdr:rowOff>
    </xdr:to>
    <xdr:pic>
      <xdr:nvPicPr>
        <xdr:cNvPr id="2" name="그림 1">
          <a:extLst>
            <a:ext uri="{FF2B5EF4-FFF2-40B4-BE49-F238E27FC236}">
              <a16:creationId xmlns:a16="http://schemas.microsoft.com/office/drawing/2014/main" id="{00000000-0008-0000-2D00-000002000000}"/>
            </a:ext>
          </a:extLst>
        </xdr:cNvPr>
        <xdr:cNvPicPr>
          <a:picLocks noChangeAspect="1"/>
        </xdr:cNvPicPr>
      </xdr:nvPicPr>
      <xdr:blipFill>
        <a:blip xmlns:r="http://schemas.openxmlformats.org/officeDocument/2006/relationships" r:embed="rId1"/>
        <a:stretch>
          <a:fillRect/>
        </a:stretch>
      </xdr:blipFill>
      <xdr:spPr>
        <a:xfrm>
          <a:off x="179869" y="1028700"/>
          <a:ext cx="5793344" cy="4791934"/>
        </a:xfrm>
        <a:prstGeom prst="rect">
          <a:avLst/>
        </a:prstGeom>
      </xdr:spPr>
    </xdr:pic>
    <xdr:clientData/>
  </xdr:twoCellAnchor>
  <xdr:twoCellAnchor>
    <xdr:from>
      <xdr:col>13</xdr:col>
      <xdr:colOff>249115</xdr:colOff>
      <xdr:row>10</xdr:row>
      <xdr:rowOff>124558</xdr:rowOff>
    </xdr:from>
    <xdr:to>
      <xdr:col>13</xdr:col>
      <xdr:colOff>468923</xdr:colOff>
      <xdr:row>11</xdr:row>
      <xdr:rowOff>131885</xdr:rowOff>
    </xdr:to>
    <xdr:sp macro="" textlink="">
      <xdr:nvSpPr>
        <xdr:cNvPr id="3" name="타원 2">
          <a:extLst>
            <a:ext uri="{FF2B5EF4-FFF2-40B4-BE49-F238E27FC236}">
              <a16:creationId xmlns:a16="http://schemas.microsoft.com/office/drawing/2014/main" id="{00000000-0008-0000-2D00-000003000000}"/>
            </a:ext>
          </a:extLst>
        </xdr:cNvPr>
        <xdr:cNvSpPr/>
      </xdr:nvSpPr>
      <xdr:spPr>
        <a:xfrm rot="12202146">
          <a:off x="7345240" y="222005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12</xdr:row>
      <xdr:rowOff>139211</xdr:rowOff>
    </xdr:from>
    <xdr:to>
      <xdr:col>13</xdr:col>
      <xdr:colOff>505557</xdr:colOff>
      <xdr:row>13</xdr:row>
      <xdr:rowOff>146539</xdr:rowOff>
    </xdr:to>
    <xdr:sp macro="" textlink="">
      <xdr:nvSpPr>
        <xdr:cNvPr id="4" name="타원 3">
          <a:extLst>
            <a:ext uri="{FF2B5EF4-FFF2-40B4-BE49-F238E27FC236}">
              <a16:creationId xmlns:a16="http://schemas.microsoft.com/office/drawing/2014/main" id="{00000000-0008-0000-2D00-000004000000}"/>
            </a:ext>
          </a:extLst>
        </xdr:cNvPr>
        <xdr:cNvSpPr/>
      </xdr:nvSpPr>
      <xdr:spPr>
        <a:xfrm rot="12202146">
          <a:off x="7381874" y="26538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329710</xdr:colOff>
      <xdr:row>22</xdr:row>
      <xdr:rowOff>205152</xdr:rowOff>
    </xdr:from>
    <xdr:to>
      <xdr:col>13</xdr:col>
      <xdr:colOff>549518</xdr:colOff>
      <xdr:row>23</xdr:row>
      <xdr:rowOff>212479</xdr:rowOff>
    </xdr:to>
    <xdr:sp macro="" textlink="">
      <xdr:nvSpPr>
        <xdr:cNvPr id="5" name="타원 4">
          <a:extLst>
            <a:ext uri="{FF2B5EF4-FFF2-40B4-BE49-F238E27FC236}">
              <a16:creationId xmlns:a16="http://schemas.microsoft.com/office/drawing/2014/main" id="{00000000-0008-0000-2D00-000005000000}"/>
            </a:ext>
          </a:extLst>
        </xdr:cNvPr>
        <xdr:cNvSpPr/>
      </xdr:nvSpPr>
      <xdr:spPr>
        <a:xfrm rot="12202146">
          <a:off x="7425835" y="48914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278421</xdr:colOff>
      <xdr:row>14</xdr:row>
      <xdr:rowOff>87922</xdr:rowOff>
    </xdr:from>
    <xdr:to>
      <xdr:col>13</xdr:col>
      <xdr:colOff>498229</xdr:colOff>
      <xdr:row>15</xdr:row>
      <xdr:rowOff>95249</xdr:rowOff>
    </xdr:to>
    <xdr:sp macro="" textlink="">
      <xdr:nvSpPr>
        <xdr:cNvPr id="6" name="타원 5">
          <a:extLst>
            <a:ext uri="{FF2B5EF4-FFF2-40B4-BE49-F238E27FC236}">
              <a16:creationId xmlns:a16="http://schemas.microsoft.com/office/drawing/2014/main" id="{00000000-0008-0000-2D00-000006000000}"/>
            </a:ext>
          </a:extLst>
        </xdr:cNvPr>
        <xdr:cNvSpPr/>
      </xdr:nvSpPr>
      <xdr:spPr>
        <a:xfrm rot="12202146">
          <a:off x="7374546" y="30406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13</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2D00-000007000000}"/>
                </a:ext>
              </a:extLst>
            </xdr:cNvPr>
            <xdr:cNvSpPr txBox="1"/>
          </xdr:nvSpPr>
          <xdr:spPr>
            <a:xfrm>
              <a:off x="7320329" y="36524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7320329" y="36524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16</xdr:col>
      <xdr:colOff>276400</xdr:colOff>
      <xdr:row>16</xdr:row>
      <xdr:rowOff>49016</xdr:rowOff>
    </xdr:from>
    <xdr:to>
      <xdr:col>16</xdr:col>
      <xdr:colOff>496208</xdr:colOff>
      <xdr:row>17</xdr:row>
      <xdr:rowOff>56343</xdr:rowOff>
    </xdr:to>
    <xdr:sp macro="" textlink="">
      <xdr:nvSpPr>
        <xdr:cNvPr id="8" name="타원 7">
          <a:extLst>
            <a:ext uri="{FF2B5EF4-FFF2-40B4-BE49-F238E27FC236}">
              <a16:creationId xmlns:a16="http://schemas.microsoft.com/office/drawing/2014/main" id="{00000000-0008-0000-2D00-000008000000}"/>
            </a:ext>
          </a:extLst>
        </xdr:cNvPr>
        <xdr:cNvSpPr/>
      </xdr:nvSpPr>
      <xdr:spPr>
        <a:xfrm rot="12202146">
          <a:off x="11487325" y="343991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17</xdr:col>
      <xdr:colOff>410308</xdr:colOff>
      <xdr:row>19</xdr:row>
      <xdr:rowOff>54249</xdr:rowOff>
    </xdr:from>
    <xdr:ext cx="330283" cy="751424"/>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00000000-0008-0000-2D00-000010000000}"/>
                </a:ext>
              </a:extLst>
            </xdr:cNvPr>
            <xdr:cNvSpPr txBox="1"/>
          </xdr:nvSpPr>
          <xdr:spPr>
            <a:xfrm>
              <a:off x="11430000" y="284580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6" name="TextBox 15"/>
            <xdr:cNvSpPr txBox="1"/>
          </xdr:nvSpPr>
          <xdr:spPr>
            <a:xfrm>
              <a:off x="11430000" y="284580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11</xdr:col>
      <xdr:colOff>202223</xdr:colOff>
      <xdr:row>18</xdr:row>
      <xdr:rowOff>191232</xdr:rowOff>
    </xdr:from>
    <xdr:ext cx="330283" cy="751424"/>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0000000-0008-0000-2D00-000011000000}"/>
                </a:ext>
              </a:extLst>
            </xdr:cNvPr>
            <xdr:cNvSpPr txBox="1"/>
          </xdr:nvSpPr>
          <xdr:spPr>
            <a:xfrm>
              <a:off x="7089531" y="405984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7" name="TextBox 16"/>
            <xdr:cNvSpPr txBox="1"/>
          </xdr:nvSpPr>
          <xdr:spPr>
            <a:xfrm>
              <a:off x="7089531" y="405984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16</xdr:col>
      <xdr:colOff>276400</xdr:colOff>
      <xdr:row>17</xdr:row>
      <xdr:rowOff>153791</xdr:rowOff>
    </xdr:from>
    <xdr:to>
      <xdr:col>16</xdr:col>
      <xdr:colOff>496208</xdr:colOff>
      <xdr:row>18</xdr:row>
      <xdr:rowOff>161118</xdr:rowOff>
    </xdr:to>
    <xdr:sp macro="" textlink="">
      <xdr:nvSpPr>
        <xdr:cNvPr id="18" name="타원 17">
          <a:extLst>
            <a:ext uri="{FF2B5EF4-FFF2-40B4-BE49-F238E27FC236}">
              <a16:creationId xmlns:a16="http://schemas.microsoft.com/office/drawing/2014/main" id="{00000000-0008-0000-2D00-000012000000}"/>
            </a:ext>
          </a:extLst>
        </xdr:cNvPr>
        <xdr:cNvSpPr/>
      </xdr:nvSpPr>
      <xdr:spPr>
        <a:xfrm rot="12202146">
          <a:off x="112492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276400</xdr:colOff>
      <xdr:row>22</xdr:row>
      <xdr:rowOff>49016</xdr:rowOff>
    </xdr:from>
    <xdr:to>
      <xdr:col>16</xdr:col>
      <xdr:colOff>496208</xdr:colOff>
      <xdr:row>23</xdr:row>
      <xdr:rowOff>56343</xdr:rowOff>
    </xdr:to>
    <xdr:sp macro="" textlink="">
      <xdr:nvSpPr>
        <xdr:cNvPr id="19" name="타원 18">
          <a:extLst>
            <a:ext uri="{FF2B5EF4-FFF2-40B4-BE49-F238E27FC236}">
              <a16:creationId xmlns:a16="http://schemas.microsoft.com/office/drawing/2014/main" id="{00000000-0008-0000-2D00-000013000000}"/>
            </a:ext>
          </a:extLst>
        </xdr:cNvPr>
        <xdr:cNvSpPr/>
      </xdr:nvSpPr>
      <xdr:spPr>
        <a:xfrm rot="12202146">
          <a:off x="112492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200025</xdr:colOff>
      <xdr:row>19</xdr:row>
      <xdr:rowOff>1495</xdr:rowOff>
    </xdr:from>
    <xdr:ext cx="330283" cy="751424"/>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00000000-0008-0000-2D00-000014000000}"/>
                </a:ext>
              </a:extLst>
            </xdr:cNvPr>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0" name="TextBox 19"/>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wsDr>
</file>

<file path=xl/drawings/drawing38.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8</xdr:col>
      <xdr:colOff>400050</xdr:colOff>
      <xdr:row>27</xdr:row>
      <xdr:rowOff>104169</xdr:rowOff>
    </xdr:to>
    <xdr:pic>
      <xdr:nvPicPr>
        <xdr:cNvPr id="2" name="그림 1">
          <a:extLst>
            <a:ext uri="{FF2B5EF4-FFF2-40B4-BE49-F238E27FC236}">
              <a16:creationId xmlns:a16="http://schemas.microsoft.com/office/drawing/2014/main" id="{00000000-0008-0000-2E00-000002000000}"/>
            </a:ext>
          </a:extLst>
        </xdr:cNvPr>
        <xdr:cNvPicPr>
          <a:picLocks noChangeAspect="1"/>
        </xdr:cNvPicPr>
      </xdr:nvPicPr>
      <xdr:blipFill>
        <a:blip xmlns:r="http://schemas.openxmlformats.org/officeDocument/2006/relationships" r:embed="rId1"/>
        <a:stretch>
          <a:fillRect/>
        </a:stretch>
      </xdr:blipFill>
      <xdr:spPr>
        <a:xfrm>
          <a:off x="865669" y="1028700"/>
          <a:ext cx="5020781" cy="4809519"/>
        </a:xfrm>
        <a:prstGeom prst="rect">
          <a:avLst/>
        </a:prstGeom>
      </xdr:spPr>
    </xdr:pic>
    <xdr:clientData/>
  </xdr:twoCellAnchor>
  <xdr:twoCellAnchor>
    <xdr:from>
      <xdr:col>13</xdr:col>
      <xdr:colOff>249115</xdr:colOff>
      <xdr:row>10</xdr:row>
      <xdr:rowOff>124558</xdr:rowOff>
    </xdr:from>
    <xdr:to>
      <xdr:col>13</xdr:col>
      <xdr:colOff>468923</xdr:colOff>
      <xdr:row>11</xdr:row>
      <xdr:rowOff>131885</xdr:rowOff>
    </xdr:to>
    <xdr:sp macro="" textlink="">
      <xdr:nvSpPr>
        <xdr:cNvPr id="3" name="타원 2">
          <a:extLst>
            <a:ext uri="{FF2B5EF4-FFF2-40B4-BE49-F238E27FC236}">
              <a16:creationId xmlns:a16="http://schemas.microsoft.com/office/drawing/2014/main" id="{00000000-0008-0000-2E00-000003000000}"/>
            </a:ext>
          </a:extLst>
        </xdr:cNvPr>
        <xdr:cNvSpPr/>
      </xdr:nvSpPr>
      <xdr:spPr>
        <a:xfrm rot="12202146">
          <a:off x="9164515" y="223910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12</xdr:row>
      <xdr:rowOff>139211</xdr:rowOff>
    </xdr:from>
    <xdr:to>
      <xdr:col>13</xdr:col>
      <xdr:colOff>505557</xdr:colOff>
      <xdr:row>13</xdr:row>
      <xdr:rowOff>146539</xdr:rowOff>
    </xdr:to>
    <xdr:sp macro="" textlink="">
      <xdr:nvSpPr>
        <xdr:cNvPr id="4" name="타원 3">
          <a:extLst>
            <a:ext uri="{FF2B5EF4-FFF2-40B4-BE49-F238E27FC236}">
              <a16:creationId xmlns:a16="http://schemas.microsoft.com/office/drawing/2014/main" id="{00000000-0008-0000-2E00-000004000000}"/>
            </a:ext>
          </a:extLst>
        </xdr:cNvPr>
        <xdr:cNvSpPr/>
      </xdr:nvSpPr>
      <xdr:spPr>
        <a:xfrm rot="12202146">
          <a:off x="9201149" y="26919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329710</xdr:colOff>
      <xdr:row>22</xdr:row>
      <xdr:rowOff>205152</xdr:rowOff>
    </xdr:from>
    <xdr:to>
      <xdr:col>13</xdr:col>
      <xdr:colOff>549518</xdr:colOff>
      <xdr:row>23</xdr:row>
      <xdr:rowOff>212479</xdr:rowOff>
    </xdr:to>
    <xdr:sp macro="" textlink="">
      <xdr:nvSpPr>
        <xdr:cNvPr id="5" name="타원 4">
          <a:extLst>
            <a:ext uri="{FF2B5EF4-FFF2-40B4-BE49-F238E27FC236}">
              <a16:creationId xmlns:a16="http://schemas.microsoft.com/office/drawing/2014/main" id="{00000000-0008-0000-2E00-000005000000}"/>
            </a:ext>
          </a:extLst>
        </xdr:cNvPr>
        <xdr:cNvSpPr/>
      </xdr:nvSpPr>
      <xdr:spPr>
        <a:xfrm rot="12202146">
          <a:off x="9245110" y="48724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278421</xdr:colOff>
      <xdr:row>14</xdr:row>
      <xdr:rowOff>87922</xdr:rowOff>
    </xdr:from>
    <xdr:to>
      <xdr:col>13</xdr:col>
      <xdr:colOff>498229</xdr:colOff>
      <xdr:row>15</xdr:row>
      <xdr:rowOff>95249</xdr:rowOff>
    </xdr:to>
    <xdr:sp macro="" textlink="">
      <xdr:nvSpPr>
        <xdr:cNvPr id="6" name="타원 5">
          <a:extLst>
            <a:ext uri="{FF2B5EF4-FFF2-40B4-BE49-F238E27FC236}">
              <a16:creationId xmlns:a16="http://schemas.microsoft.com/office/drawing/2014/main" id="{00000000-0008-0000-2E00-000006000000}"/>
            </a:ext>
          </a:extLst>
        </xdr:cNvPr>
        <xdr:cNvSpPr/>
      </xdr:nvSpPr>
      <xdr:spPr>
        <a:xfrm rot="12202146">
          <a:off x="9193821" y="30787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13</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2E00-000007000000}"/>
                </a:ext>
              </a:extLst>
            </xdr:cNvPr>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17</xdr:col>
      <xdr:colOff>276400</xdr:colOff>
      <xdr:row>16</xdr:row>
      <xdr:rowOff>49016</xdr:rowOff>
    </xdr:from>
    <xdr:to>
      <xdr:col>17</xdr:col>
      <xdr:colOff>496208</xdr:colOff>
      <xdr:row>17</xdr:row>
      <xdr:rowOff>56343</xdr:rowOff>
    </xdr:to>
    <xdr:sp macro="" textlink="">
      <xdr:nvSpPr>
        <xdr:cNvPr id="8" name="타원 7">
          <a:extLst>
            <a:ext uri="{FF2B5EF4-FFF2-40B4-BE49-F238E27FC236}">
              <a16:creationId xmlns:a16="http://schemas.microsoft.com/office/drawing/2014/main" id="{00000000-0008-0000-2E00-000008000000}"/>
            </a:ext>
          </a:extLst>
        </xdr:cNvPr>
        <xdr:cNvSpPr/>
      </xdr:nvSpPr>
      <xdr:spPr>
        <a:xfrm rot="12202146">
          <a:off x="112492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18</xdr:col>
      <xdr:colOff>410308</xdr:colOff>
      <xdr:row>19</xdr:row>
      <xdr:rowOff>54249</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2E00-000009000000}"/>
                </a:ext>
              </a:extLst>
            </xdr:cNvPr>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11</xdr:col>
      <xdr:colOff>202223</xdr:colOff>
      <xdr:row>18</xdr:row>
      <xdr:rowOff>191232</xdr:rowOff>
    </xdr:from>
    <xdr:ext cx="330283" cy="75142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0000000-0008-0000-2E00-00000A000000}"/>
                </a:ext>
              </a:extLst>
            </xdr:cNvPr>
            <xdr:cNvSpPr txBox="1"/>
          </xdr:nvSpPr>
          <xdr:spPr>
            <a:xfrm>
              <a:off x="7746023" y="402028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0" name="TextBox 9"/>
            <xdr:cNvSpPr txBox="1"/>
          </xdr:nvSpPr>
          <xdr:spPr>
            <a:xfrm>
              <a:off x="7746023" y="402028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17</xdr:col>
      <xdr:colOff>276400</xdr:colOff>
      <xdr:row>17</xdr:row>
      <xdr:rowOff>153791</xdr:rowOff>
    </xdr:from>
    <xdr:to>
      <xdr:col>17</xdr:col>
      <xdr:colOff>496208</xdr:colOff>
      <xdr:row>18</xdr:row>
      <xdr:rowOff>161118</xdr:rowOff>
    </xdr:to>
    <xdr:sp macro="" textlink="">
      <xdr:nvSpPr>
        <xdr:cNvPr id="11" name="타원 10">
          <a:extLst>
            <a:ext uri="{FF2B5EF4-FFF2-40B4-BE49-F238E27FC236}">
              <a16:creationId xmlns:a16="http://schemas.microsoft.com/office/drawing/2014/main" id="{00000000-0008-0000-2E00-00000B000000}"/>
            </a:ext>
          </a:extLst>
        </xdr:cNvPr>
        <xdr:cNvSpPr/>
      </xdr:nvSpPr>
      <xdr:spPr>
        <a:xfrm rot="12202146">
          <a:off x="112492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17</xdr:col>
      <xdr:colOff>276400</xdr:colOff>
      <xdr:row>22</xdr:row>
      <xdr:rowOff>49016</xdr:rowOff>
    </xdr:from>
    <xdr:to>
      <xdr:col>17</xdr:col>
      <xdr:colOff>496208</xdr:colOff>
      <xdr:row>23</xdr:row>
      <xdr:rowOff>56343</xdr:rowOff>
    </xdr:to>
    <xdr:sp macro="" textlink="">
      <xdr:nvSpPr>
        <xdr:cNvPr id="12" name="타원 11">
          <a:extLst>
            <a:ext uri="{FF2B5EF4-FFF2-40B4-BE49-F238E27FC236}">
              <a16:creationId xmlns:a16="http://schemas.microsoft.com/office/drawing/2014/main" id="{00000000-0008-0000-2E00-00000C000000}"/>
            </a:ext>
          </a:extLst>
        </xdr:cNvPr>
        <xdr:cNvSpPr/>
      </xdr:nvSpPr>
      <xdr:spPr>
        <a:xfrm rot="12202146">
          <a:off x="11249200" y="47162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17</xdr:col>
      <xdr:colOff>200025</xdr:colOff>
      <xdr:row>19</xdr:row>
      <xdr:rowOff>1495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E00-00000D000000}"/>
                </a:ext>
              </a:extLst>
            </xdr:cNvPr>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1</xdr:col>
      <xdr:colOff>85726</xdr:colOff>
      <xdr:row>4</xdr:row>
      <xdr:rowOff>57150</xdr:rowOff>
    </xdr:from>
    <xdr:to>
      <xdr:col>8</xdr:col>
      <xdr:colOff>447676</xdr:colOff>
      <xdr:row>27</xdr:row>
      <xdr:rowOff>110088</xdr:rowOff>
    </xdr:to>
    <xdr:pic>
      <xdr:nvPicPr>
        <xdr:cNvPr id="14" name="그림 13">
          <a:extLst>
            <a:ext uri="{FF2B5EF4-FFF2-40B4-BE49-F238E27FC236}">
              <a16:creationId xmlns:a16="http://schemas.microsoft.com/office/drawing/2014/main" id="{00000000-0008-0000-2E00-00000E000000}"/>
            </a:ext>
          </a:extLst>
        </xdr:cNvPr>
        <xdr:cNvPicPr>
          <a:picLocks noChangeAspect="1"/>
        </xdr:cNvPicPr>
      </xdr:nvPicPr>
      <xdr:blipFill>
        <a:blip xmlns:r="http://schemas.openxmlformats.org/officeDocument/2006/relationships" r:embed="rId2"/>
        <a:stretch>
          <a:fillRect/>
        </a:stretch>
      </xdr:blipFill>
      <xdr:spPr>
        <a:xfrm>
          <a:off x="771526" y="895350"/>
          <a:ext cx="5162550" cy="4948788"/>
        </a:xfrm>
        <a:prstGeom prst="rect">
          <a:avLst/>
        </a:prstGeom>
      </xdr:spPr>
    </xdr:pic>
    <xdr:clientData/>
  </xdr:twoCellAnchor>
  <xdr:twoCellAnchor>
    <xdr:from>
      <xdr:col>15</xdr:col>
      <xdr:colOff>276400</xdr:colOff>
      <xdr:row>16</xdr:row>
      <xdr:rowOff>49016</xdr:rowOff>
    </xdr:from>
    <xdr:to>
      <xdr:col>15</xdr:col>
      <xdr:colOff>496208</xdr:colOff>
      <xdr:row>17</xdr:row>
      <xdr:rowOff>56343</xdr:rowOff>
    </xdr:to>
    <xdr:sp macro="" textlink="">
      <xdr:nvSpPr>
        <xdr:cNvPr id="15" name="타원 14">
          <a:extLst>
            <a:ext uri="{FF2B5EF4-FFF2-40B4-BE49-F238E27FC236}">
              <a16:creationId xmlns:a16="http://schemas.microsoft.com/office/drawing/2014/main" id="{00000000-0008-0000-2E00-00000F000000}"/>
            </a:ext>
          </a:extLst>
        </xdr:cNvPr>
        <xdr:cNvSpPr/>
      </xdr:nvSpPr>
      <xdr:spPr>
        <a:xfrm rot="12202146">
          <a:off x="119350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276400</xdr:colOff>
      <xdr:row>17</xdr:row>
      <xdr:rowOff>153791</xdr:rowOff>
    </xdr:from>
    <xdr:to>
      <xdr:col>15</xdr:col>
      <xdr:colOff>496208</xdr:colOff>
      <xdr:row>18</xdr:row>
      <xdr:rowOff>161118</xdr:rowOff>
    </xdr:to>
    <xdr:sp macro="" textlink="">
      <xdr:nvSpPr>
        <xdr:cNvPr id="16" name="타원 15">
          <a:extLst>
            <a:ext uri="{FF2B5EF4-FFF2-40B4-BE49-F238E27FC236}">
              <a16:creationId xmlns:a16="http://schemas.microsoft.com/office/drawing/2014/main" id="{00000000-0008-0000-2E00-000010000000}"/>
            </a:ext>
          </a:extLst>
        </xdr:cNvPr>
        <xdr:cNvSpPr/>
      </xdr:nvSpPr>
      <xdr:spPr>
        <a:xfrm rot="12202146">
          <a:off x="119350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276400</xdr:colOff>
      <xdr:row>22</xdr:row>
      <xdr:rowOff>49016</xdr:rowOff>
    </xdr:from>
    <xdr:to>
      <xdr:col>15</xdr:col>
      <xdr:colOff>496208</xdr:colOff>
      <xdr:row>23</xdr:row>
      <xdr:rowOff>56343</xdr:rowOff>
    </xdr:to>
    <xdr:sp macro="" textlink="">
      <xdr:nvSpPr>
        <xdr:cNvPr id="17" name="타원 16">
          <a:extLst>
            <a:ext uri="{FF2B5EF4-FFF2-40B4-BE49-F238E27FC236}">
              <a16:creationId xmlns:a16="http://schemas.microsoft.com/office/drawing/2014/main" id="{00000000-0008-0000-2E00-000011000000}"/>
            </a:ext>
          </a:extLst>
        </xdr:cNvPr>
        <xdr:cNvSpPr/>
      </xdr:nvSpPr>
      <xdr:spPr>
        <a:xfrm rot="12202146">
          <a:off x="11935000" y="47162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15</xdr:col>
      <xdr:colOff>200025</xdr:colOff>
      <xdr:row>19</xdr:row>
      <xdr:rowOff>1495</xdr:rowOff>
    </xdr:from>
    <xdr:ext cx="330283" cy="751424"/>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00000000-0008-0000-2E00-000012000000}"/>
                </a:ext>
              </a:extLst>
            </xdr:cNvPr>
            <xdr:cNvSpPr txBox="1"/>
          </xdr:nvSpPr>
          <xdr:spPr>
            <a:xfrm>
              <a:off x="118586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8" name="TextBox 17"/>
            <xdr:cNvSpPr txBox="1"/>
          </xdr:nvSpPr>
          <xdr:spPr>
            <a:xfrm>
              <a:off x="118586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wsDr>
</file>

<file path=xl/drawings/drawing39.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9</xdr:col>
      <xdr:colOff>486813</xdr:colOff>
      <xdr:row>27</xdr:row>
      <xdr:rowOff>182997</xdr:rowOff>
    </xdr:to>
    <xdr:pic>
      <xdr:nvPicPr>
        <xdr:cNvPr id="2" name="그림 1">
          <a:extLst>
            <a:ext uri="{FF2B5EF4-FFF2-40B4-BE49-F238E27FC236}">
              <a16:creationId xmlns:a16="http://schemas.microsoft.com/office/drawing/2014/main" id="{00000000-0008-0000-2F00-000002000000}"/>
            </a:ext>
          </a:extLst>
        </xdr:cNvPr>
        <xdr:cNvPicPr>
          <a:picLocks noChangeAspect="1"/>
        </xdr:cNvPicPr>
      </xdr:nvPicPr>
      <xdr:blipFill>
        <a:blip xmlns:r="http://schemas.openxmlformats.org/officeDocument/2006/relationships" r:embed="rId1"/>
        <a:stretch>
          <a:fillRect/>
        </a:stretch>
      </xdr:blipFill>
      <xdr:spPr>
        <a:xfrm>
          <a:off x="865669" y="1028700"/>
          <a:ext cx="5793344" cy="4809519"/>
        </a:xfrm>
        <a:prstGeom prst="rect">
          <a:avLst/>
        </a:prstGeom>
      </xdr:spPr>
    </xdr:pic>
    <xdr:clientData/>
  </xdr:twoCellAnchor>
  <xdr:twoCellAnchor>
    <xdr:from>
      <xdr:col>12</xdr:col>
      <xdr:colOff>285749</xdr:colOff>
      <xdr:row>12</xdr:row>
      <xdr:rowOff>139211</xdr:rowOff>
    </xdr:from>
    <xdr:to>
      <xdr:col>12</xdr:col>
      <xdr:colOff>505557</xdr:colOff>
      <xdr:row>13</xdr:row>
      <xdr:rowOff>146539</xdr:rowOff>
    </xdr:to>
    <xdr:sp macro="" textlink="">
      <xdr:nvSpPr>
        <xdr:cNvPr id="4" name="타원 3">
          <a:extLst>
            <a:ext uri="{FF2B5EF4-FFF2-40B4-BE49-F238E27FC236}">
              <a16:creationId xmlns:a16="http://schemas.microsoft.com/office/drawing/2014/main" id="{00000000-0008-0000-2F00-000004000000}"/>
            </a:ext>
          </a:extLst>
        </xdr:cNvPr>
        <xdr:cNvSpPr/>
      </xdr:nvSpPr>
      <xdr:spPr>
        <a:xfrm rot="12202146">
          <a:off x="9201149" y="26919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329710</xdr:colOff>
      <xdr:row>22</xdr:row>
      <xdr:rowOff>205152</xdr:rowOff>
    </xdr:from>
    <xdr:to>
      <xdr:col>12</xdr:col>
      <xdr:colOff>549518</xdr:colOff>
      <xdr:row>23</xdr:row>
      <xdr:rowOff>212479</xdr:rowOff>
    </xdr:to>
    <xdr:sp macro="" textlink="">
      <xdr:nvSpPr>
        <xdr:cNvPr id="5" name="타원 4">
          <a:extLst>
            <a:ext uri="{FF2B5EF4-FFF2-40B4-BE49-F238E27FC236}">
              <a16:creationId xmlns:a16="http://schemas.microsoft.com/office/drawing/2014/main" id="{00000000-0008-0000-2F00-000005000000}"/>
            </a:ext>
          </a:extLst>
        </xdr:cNvPr>
        <xdr:cNvSpPr/>
      </xdr:nvSpPr>
      <xdr:spPr>
        <a:xfrm rot="12202146">
          <a:off x="9245110" y="48724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278421</xdr:colOff>
      <xdr:row>14</xdr:row>
      <xdr:rowOff>87922</xdr:rowOff>
    </xdr:from>
    <xdr:to>
      <xdr:col>12</xdr:col>
      <xdr:colOff>498229</xdr:colOff>
      <xdr:row>15</xdr:row>
      <xdr:rowOff>95249</xdr:rowOff>
    </xdr:to>
    <xdr:sp macro="" textlink="">
      <xdr:nvSpPr>
        <xdr:cNvPr id="6" name="타원 5">
          <a:extLst>
            <a:ext uri="{FF2B5EF4-FFF2-40B4-BE49-F238E27FC236}">
              <a16:creationId xmlns:a16="http://schemas.microsoft.com/office/drawing/2014/main" id="{00000000-0008-0000-2F00-000006000000}"/>
            </a:ext>
          </a:extLst>
        </xdr:cNvPr>
        <xdr:cNvSpPr/>
      </xdr:nvSpPr>
      <xdr:spPr>
        <a:xfrm rot="12202146">
          <a:off x="9193821" y="30787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2F00-000007000000}"/>
                </a:ext>
              </a:extLst>
            </xdr:cNvPr>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13</xdr:row>
      <xdr:rowOff>49016</xdr:rowOff>
    </xdr:from>
    <xdr:to>
      <xdr:col>41</xdr:col>
      <xdr:colOff>496208</xdr:colOff>
      <xdr:row>14</xdr:row>
      <xdr:rowOff>56343</xdr:rowOff>
    </xdr:to>
    <xdr:sp macro="" textlink="">
      <xdr:nvSpPr>
        <xdr:cNvPr id="8" name="타원 7">
          <a:extLst>
            <a:ext uri="{FF2B5EF4-FFF2-40B4-BE49-F238E27FC236}">
              <a16:creationId xmlns:a16="http://schemas.microsoft.com/office/drawing/2014/main" id="{00000000-0008-0000-2F00-000008000000}"/>
            </a:ext>
          </a:extLst>
        </xdr:cNvPr>
        <xdr:cNvSpPr/>
      </xdr:nvSpPr>
      <xdr:spPr>
        <a:xfrm rot="12202146">
          <a:off x="112492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410308</xdr:colOff>
      <xdr:row>16</xdr:row>
      <xdr:rowOff>54249</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2F00-000009000000}"/>
                </a:ext>
              </a:extLst>
            </xdr:cNvPr>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14</xdr:row>
      <xdr:rowOff>153791</xdr:rowOff>
    </xdr:from>
    <xdr:to>
      <xdr:col>41</xdr:col>
      <xdr:colOff>496208</xdr:colOff>
      <xdr:row>15</xdr:row>
      <xdr:rowOff>161118</xdr:rowOff>
    </xdr:to>
    <xdr:sp macro="" textlink="">
      <xdr:nvSpPr>
        <xdr:cNvPr id="11" name="타원 10">
          <a:extLst>
            <a:ext uri="{FF2B5EF4-FFF2-40B4-BE49-F238E27FC236}">
              <a16:creationId xmlns:a16="http://schemas.microsoft.com/office/drawing/2014/main" id="{00000000-0008-0000-2F00-00000B000000}"/>
            </a:ext>
          </a:extLst>
        </xdr:cNvPr>
        <xdr:cNvSpPr/>
      </xdr:nvSpPr>
      <xdr:spPr>
        <a:xfrm rot="12202146">
          <a:off x="112492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41</xdr:col>
      <xdr:colOff>276400</xdr:colOff>
      <xdr:row>19</xdr:row>
      <xdr:rowOff>49016</xdr:rowOff>
    </xdr:from>
    <xdr:to>
      <xdr:col>41</xdr:col>
      <xdr:colOff>496208</xdr:colOff>
      <xdr:row>20</xdr:row>
      <xdr:rowOff>56343</xdr:rowOff>
    </xdr:to>
    <xdr:sp macro="" textlink="">
      <xdr:nvSpPr>
        <xdr:cNvPr id="12" name="타원 11">
          <a:extLst>
            <a:ext uri="{FF2B5EF4-FFF2-40B4-BE49-F238E27FC236}">
              <a16:creationId xmlns:a16="http://schemas.microsoft.com/office/drawing/2014/main" id="{00000000-0008-0000-2F00-00000C000000}"/>
            </a:ext>
          </a:extLst>
        </xdr:cNvPr>
        <xdr:cNvSpPr/>
      </xdr:nvSpPr>
      <xdr:spPr>
        <a:xfrm rot="12202146">
          <a:off x="11249200" y="47162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41</xdr:col>
      <xdr:colOff>200025</xdr:colOff>
      <xdr:row>16</xdr:row>
      <xdr:rowOff>1495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F00-00000D000000}"/>
                </a:ext>
              </a:extLst>
            </xdr:cNvPr>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252904</xdr:colOff>
      <xdr:row>10</xdr:row>
      <xdr:rowOff>126074</xdr:rowOff>
    </xdr:from>
    <xdr:to>
      <xdr:col>12</xdr:col>
      <xdr:colOff>472712</xdr:colOff>
      <xdr:row>11</xdr:row>
      <xdr:rowOff>113694</xdr:rowOff>
    </xdr:to>
    <xdr:sp macro="" textlink="">
      <xdr:nvSpPr>
        <xdr:cNvPr id="14" name="타원 13">
          <a:extLst>
            <a:ext uri="{FF2B5EF4-FFF2-40B4-BE49-F238E27FC236}">
              <a16:creationId xmlns:a16="http://schemas.microsoft.com/office/drawing/2014/main" id="{00000000-0008-0000-2F00-00000E000000}"/>
            </a:ext>
          </a:extLst>
        </xdr:cNvPr>
        <xdr:cNvSpPr/>
      </xdr:nvSpPr>
      <xdr:spPr>
        <a:xfrm rot="12202146">
          <a:off x="9134145" y="2247850"/>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464654</xdr:colOff>
      <xdr:row>8</xdr:row>
      <xdr:rowOff>137948</xdr:rowOff>
    </xdr:from>
    <xdr:to>
      <xdr:col>13</xdr:col>
      <xdr:colOff>650327</xdr:colOff>
      <xdr:row>10</xdr:row>
      <xdr:rowOff>195066</xdr:rowOff>
    </xdr:to>
    <xdr:cxnSp macro="">
      <xdr:nvCxnSpPr>
        <xdr:cNvPr id="16" name="직선 연결선 15">
          <a:extLst>
            <a:ext uri="{FF2B5EF4-FFF2-40B4-BE49-F238E27FC236}">
              <a16:creationId xmlns:a16="http://schemas.microsoft.com/office/drawing/2014/main" id="{00000000-0008-0000-2F00-000010000000}"/>
            </a:ext>
          </a:extLst>
        </xdr:cNvPr>
        <xdr:cNvCxnSpPr>
          <a:stCxn id="14" idx="3"/>
        </xdr:cNvCxnSpPr>
      </xdr:nvCxnSpPr>
      <xdr:spPr>
        <a:xfrm flipV="1">
          <a:off x="9345895" y="1819603"/>
          <a:ext cx="868846" cy="4972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285749</xdr:colOff>
      <xdr:row>12</xdr:row>
      <xdr:rowOff>139211</xdr:rowOff>
    </xdr:from>
    <xdr:to>
      <xdr:col>18</xdr:col>
      <xdr:colOff>505557</xdr:colOff>
      <xdr:row>13</xdr:row>
      <xdr:rowOff>146539</xdr:rowOff>
    </xdr:to>
    <xdr:sp macro="" textlink="">
      <xdr:nvSpPr>
        <xdr:cNvPr id="23" name="타원 22">
          <a:extLst>
            <a:ext uri="{FF2B5EF4-FFF2-40B4-BE49-F238E27FC236}">
              <a16:creationId xmlns:a16="http://schemas.microsoft.com/office/drawing/2014/main" id="{00000000-0008-0000-2F00-000017000000}"/>
            </a:ext>
          </a:extLst>
        </xdr:cNvPr>
        <xdr:cNvSpPr/>
      </xdr:nvSpPr>
      <xdr:spPr>
        <a:xfrm rot="12202146">
          <a:off x="8535227" y="2623994"/>
          <a:ext cx="219808" cy="21439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329710</xdr:colOff>
      <xdr:row>22</xdr:row>
      <xdr:rowOff>205152</xdr:rowOff>
    </xdr:from>
    <xdr:to>
      <xdr:col>18</xdr:col>
      <xdr:colOff>549518</xdr:colOff>
      <xdr:row>23</xdr:row>
      <xdr:rowOff>212479</xdr:rowOff>
    </xdr:to>
    <xdr:sp macro="" textlink="">
      <xdr:nvSpPr>
        <xdr:cNvPr id="24" name="타원 23">
          <a:extLst>
            <a:ext uri="{FF2B5EF4-FFF2-40B4-BE49-F238E27FC236}">
              <a16:creationId xmlns:a16="http://schemas.microsoft.com/office/drawing/2014/main" id="{00000000-0008-0000-2F00-000018000000}"/>
            </a:ext>
          </a:extLst>
        </xdr:cNvPr>
        <xdr:cNvSpPr/>
      </xdr:nvSpPr>
      <xdr:spPr>
        <a:xfrm rot="12202146">
          <a:off x="8579188" y="4760587"/>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278421</xdr:colOff>
      <xdr:row>14</xdr:row>
      <xdr:rowOff>87922</xdr:rowOff>
    </xdr:from>
    <xdr:to>
      <xdr:col>18</xdr:col>
      <xdr:colOff>498229</xdr:colOff>
      <xdr:row>15</xdr:row>
      <xdr:rowOff>95249</xdr:rowOff>
    </xdr:to>
    <xdr:sp macro="" textlink="">
      <xdr:nvSpPr>
        <xdr:cNvPr id="25" name="타원 24">
          <a:extLst>
            <a:ext uri="{FF2B5EF4-FFF2-40B4-BE49-F238E27FC236}">
              <a16:creationId xmlns:a16="http://schemas.microsoft.com/office/drawing/2014/main" id="{00000000-0008-0000-2F00-000019000000}"/>
            </a:ext>
          </a:extLst>
        </xdr:cNvPr>
        <xdr:cNvSpPr/>
      </xdr:nvSpPr>
      <xdr:spPr>
        <a:xfrm rot="12202146">
          <a:off x="8527899" y="2986835"/>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18</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2F00-00001A000000}"/>
                </a:ext>
              </a:extLst>
            </xdr:cNvPr>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6" name="TextBox 25"/>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18</xdr:col>
      <xdr:colOff>252904</xdr:colOff>
      <xdr:row>10</xdr:row>
      <xdr:rowOff>126074</xdr:rowOff>
    </xdr:from>
    <xdr:to>
      <xdr:col>18</xdr:col>
      <xdr:colOff>472712</xdr:colOff>
      <xdr:row>11</xdr:row>
      <xdr:rowOff>113694</xdr:rowOff>
    </xdr:to>
    <xdr:sp macro="" textlink="">
      <xdr:nvSpPr>
        <xdr:cNvPr id="27" name="타원 26">
          <a:extLst>
            <a:ext uri="{FF2B5EF4-FFF2-40B4-BE49-F238E27FC236}">
              <a16:creationId xmlns:a16="http://schemas.microsoft.com/office/drawing/2014/main" id="{00000000-0008-0000-2F00-00001B000000}"/>
            </a:ext>
          </a:extLst>
        </xdr:cNvPr>
        <xdr:cNvSpPr/>
      </xdr:nvSpPr>
      <xdr:spPr>
        <a:xfrm rot="12202146">
          <a:off x="8502382" y="2196726"/>
          <a:ext cx="219808" cy="19468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464654</xdr:colOff>
      <xdr:row>8</xdr:row>
      <xdr:rowOff>137948</xdr:rowOff>
    </xdr:from>
    <xdr:to>
      <xdr:col>19</xdr:col>
      <xdr:colOff>650327</xdr:colOff>
      <xdr:row>10</xdr:row>
      <xdr:rowOff>195066</xdr:rowOff>
    </xdr:to>
    <xdr:cxnSp macro="">
      <xdr:nvCxnSpPr>
        <xdr:cNvPr id="28" name="직선 연결선 27">
          <a:extLst>
            <a:ext uri="{FF2B5EF4-FFF2-40B4-BE49-F238E27FC236}">
              <a16:creationId xmlns:a16="http://schemas.microsoft.com/office/drawing/2014/main" id="{00000000-0008-0000-2F00-00001C000000}"/>
            </a:ext>
          </a:extLst>
        </xdr:cNvPr>
        <xdr:cNvCxnSpPr>
          <a:stCxn id="27" idx="3"/>
        </xdr:cNvCxnSpPr>
      </xdr:nvCxnSpPr>
      <xdr:spPr>
        <a:xfrm flipV="1">
          <a:off x="8714132" y="1794470"/>
          <a:ext cx="873130" cy="47124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30</xdr:col>
      <xdr:colOff>107675</xdr:colOff>
      <xdr:row>0</xdr:row>
      <xdr:rowOff>0</xdr:rowOff>
    </xdr:from>
    <xdr:to>
      <xdr:col>36</xdr:col>
      <xdr:colOff>524393</xdr:colOff>
      <xdr:row>12</xdr:row>
      <xdr:rowOff>160038</xdr:rowOff>
    </xdr:to>
    <xdr:pic>
      <xdr:nvPicPr>
        <xdr:cNvPr id="29" name="그림 28">
          <a:extLst>
            <a:ext uri="{FF2B5EF4-FFF2-40B4-BE49-F238E27FC236}">
              <a16:creationId xmlns:a16="http://schemas.microsoft.com/office/drawing/2014/main" id="{00000000-0008-0000-2F00-00001D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3517218" y="0"/>
          <a:ext cx="3528392" cy="2644821"/>
        </a:xfrm>
        <a:prstGeom prst="rect">
          <a:avLst/>
        </a:prstGeom>
      </xdr:spPr>
    </xdr:pic>
    <xdr:clientData/>
  </xdr:twoCellAnchor>
  <xdr:oneCellAnchor>
    <xdr:from>
      <xdr:col>2</xdr:col>
      <xdr:colOff>0</xdr:colOff>
      <xdr:row>47</xdr:row>
      <xdr:rowOff>0</xdr:rowOff>
    </xdr:from>
    <xdr:ext cx="330283" cy="751424"/>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2F00-00001E000000}"/>
                </a:ext>
              </a:extLst>
            </xdr:cNvPr>
            <xdr:cNvSpPr txBox="1"/>
          </xdr:nvSpPr>
          <xdr:spPr>
            <a:xfrm>
              <a:off x="1374913" y="973206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0" name="TextBox 29"/>
            <xdr:cNvSpPr txBox="1"/>
          </xdr:nvSpPr>
          <xdr:spPr>
            <a:xfrm>
              <a:off x="1374913" y="973206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37</xdr:col>
      <xdr:colOff>273963</xdr:colOff>
      <xdr:row>10</xdr:row>
      <xdr:rowOff>50014</xdr:rowOff>
    </xdr:from>
    <xdr:to>
      <xdr:col>37</xdr:col>
      <xdr:colOff>493771</xdr:colOff>
      <xdr:row>11</xdr:row>
      <xdr:rowOff>57341</xdr:rowOff>
    </xdr:to>
    <xdr:sp macro="" textlink="">
      <xdr:nvSpPr>
        <xdr:cNvPr id="31" name="타원 30">
          <a:extLst>
            <a:ext uri="{FF2B5EF4-FFF2-40B4-BE49-F238E27FC236}">
              <a16:creationId xmlns:a16="http://schemas.microsoft.com/office/drawing/2014/main" id="{00000000-0008-0000-2F00-00001F000000}"/>
            </a:ext>
          </a:extLst>
        </xdr:cNvPr>
        <xdr:cNvSpPr/>
      </xdr:nvSpPr>
      <xdr:spPr>
        <a:xfrm rot="12202146">
          <a:off x="19075485" y="2120666"/>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285749</xdr:colOff>
      <xdr:row>12</xdr:row>
      <xdr:rowOff>139211</xdr:rowOff>
    </xdr:from>
    <xdr:to>
      <xdr:col>37</xdr:col>
      <xdr:colOff>505557</xdr:colOff>
      <xdr:row>13</xdr:row>
      <xdr:rowOff>146539</xdr:rowOff>
    </xdr:to>
    <xdr:sp macro="" textlink="">
      <xdr:nvSpPr>
        <xdr:cNvPr id="32" name="타원 31">
          <a:extLst>
            <a:ext uri="{FF2B5EF4-FFF2-40B4-BE49-F238E27FC236}">
              <a16:creationId xmlns:a16="http://schemas.microsoft.com/office/drawing/2014/main" id="{00000000-0008-0000-2F00-000020000000}"/>
            </a:ext>
          </a:extLst>
        </xdr:cNvPr>
        <xdr:cNvSpPr/>
      </xdr:nvSpPr>
      <xdr:spPr>
        <a:xfrm rot="12202146">
          <a:off x="9201149" y="26919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329710</xdr:colOff>
      <xdr:row>22</xdr:row>
      <xdr:rowOff>205152</xdr:rowOff>
    </xdr:from>
    <xdr:to>
      <xdr:col>37</xdr:col>
      <xdr:colOff>549518</xdr:colOff>
      <xdr:row>23</xdr:row>
      <xdr:rowOff>212479</xdr:rowOff>
    </xdr:to>
    <xdr:sp macro="" textlink="">
      <xdr:nvSpPr>
        <xdr:cNvPr id="33" name="타원 32">
          <a:extLst>
            <a:ext uri="{FF2B5EF4-FFF2-40B4-BE49-F238E27FC236}">
              <a16:creationId xmlns:a16="http://schemas.microsoft.com/office/drawing/2014/main" id="{00000000-0008-0000-2F00-000021000000}"/>
            </a:ext>
          </a:extLst>
        </xdr:cNvPr>
        <xdr:cNvSpPr/>
      </xdr:nvSpPr>
      <xdr:spPr>
        <a:xfrm rot="12202146">
          <a:off x="9245110" y="48724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278421</xdr:colOff>
      <xdr:row>14</xdr:row>
      <xdr:rowOff>87922</xdr:rowOff>
    </xdr:from>
    <xdr:to>
      <xdr:col>37</xdr:col>
      <xdr:colOff>498229</xdr:colOff>
      <xdr:row>15</xdr:row>
      <xdr:rowOff>95249</xdr:rowOff>
    </xdr:to>
    <xdr:sp macro="" textlink="">
      <xdr:nvSpPr>
        <xdr:cNvPr id="34" name="타원 33">
          <a:extLst>
            <a:ext uri="{FF2B5EF4-FFF2-40B4-BE49-F238E27FC236}">
              <a16:creationId xmlns:a16="http://schemas.microsoft.com/office/drawing/2014/main" id="{00000000-0008-0000-2F00-000022000000}"/>
            </a:ext>
          </a:extLst>
        </xdr:cNvPr>
        <xdr:cNvSpPr/>
      </xdr:nvSpPr>
      <xdr:spPr>
        <a:xfrm rot="12202146">
          <a:off x="9193821" y="30787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37</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00000000-0008-0000-2F00-000023000000}"/>
                </a:ext>
              </a:extLst>
            </xdr:cNvPr>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5" name="TextBox 34"/>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editAs="oneCell">
    <xdr:from>
      <xdr:col>1</xdr:col>
      <xdr:colOff>1</xdr:colOff>
      <xdr:row>32</xdr:row>
      <xdr:rowOff>39290</xdr:rowOff>
    </xdr:from>
    <xdr:to>
      <xdr:col>8</xdr:col>
      <xdr:colOff>626010</xdr:colOff>
      <xdr:row>45</xdr:row>
      <xdr:rowOff>132641</xdr:rowOff>
    </xdr:to>
    <xdr:pic>
      <xdr:nvPicPr>
        <xdr:cNvPr id="4" name="그림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1"/>
        <a:stretch>
          <a:fillRect/>
        </a:stretch>
      </xdr:blipFill>
      <xdr:spPr>
        <a:xfrm>
          <a:off x="684610" y="3789759"/>
          <a:ext cx="5418275" cy="2802022"/>
        </a:xfrm>
        <a:prstGeom prst="rect">
          <a:avLst/>
        </a:prstGeom>
      </xdr:spPr>
    </xdr:pic>
    <xdr:clientData/>
  </xdr:twoCellAnchor>
  <xdr:twoCellAnchor editAs="oneCell">
    <xdr:from>
      <xdr:col>0</xdr:col>
      <xdr:colOff>683172</xdr:colOff>
      <xdr:row>56</xdr:row>
      <xdr:rowOff>0</xdr:rowOff>
    </xdr:from>
    <xdr:to>
      <xdr:col>8</xdr:col>
      <xdr:colOff>447748</xdr:colOff>
      <xdr:row>59</xdr:row>
      <xdr:rowOff>121959</xdr:rowOff>
    </xdr:to>
    <xdr:pic>
      <xdr:nvPicPr>
        <xdr:cNvPr id="5" name="그림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2"/>
        <a:stretch>
          <a:fillRect/>
        </a:stretch>
      </xdr:blipFill>
      <xdr:spPr>
        <a:xfrm>
          <a:off x="683172" y="8828690"/>
          <a:ext cx="5229955" cy="752580"/>
        </a:xfrm>
        <a:prstGeom prst="rect">
          <a:avLst/>
        </a:prstGeom>
      </xdr:spPr>
    </xdr:pic>
    <xdr:clientData/>
  </xdr:twoCellAnchor>
  <xdr:twoCellAnchor editAs="oneCell">
    <xdr:from>
      <xdr:col>0</xdr:col>
      <xdr:colOff>683172</xdr:colOff>
      <xdr:row>70</xdr:row>
      <xdr:rowOff>0</xdr:rowOff>
    </xdr:from>
    <xdr:to>
      <xdr:col>4</xdr:col>
      <xdr:colOff>160590</xdr:colOff>
      <xdr:row>75</xdr:row>
      <xdr:rowOff>196915</xdr:rowOff>
    </xdr:to>
    <xdr:pic>
      <xdr:nvPicPr>
        <xdr:cNvPr id="6" name="그림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3"/>
        <a:stretch>
          <a:fillRect/>
        </a:stretch>
      </xdr:blipFill>
      <xdr:spPr>
        <a:xfrm>
          <a:off x="683172" y="11771586"/>
          <a:ext cx="2210108" cy="1247949"/>
        </a:xfrm>
        <a:prstGeom prst="rect">
          <a:avLst/>
        </a:prstGeom>
      </xdr:spPr>
    </xdr:pic>
    <xdr:clientData/>
  </xdr:twoCellAnchor>
  <xdr:twoCellAnchor editAs="oneCell">
    <xdr:from>
      <xdr:col>1</xdr:col>
      <xdr:colOff>52552</xdr:colOff>
      <xdr:row>84</xdr:row>
      <xdr:rowOff>111673</xdr:rowOff>
    </xdr:from>
    <xdr:to>
      <xdr:col>13</xdr:col>
      <xdr:colOff>580601</xdr:colOff>
      <xdr:row>91</xdr:row>
      <xdr:rowOff>126331</xdr:rowOff>
    </xdr:to>
    <xdr:pic>
      <xdr:nvPicPr>
        <xdr:cNvPr id="7" name="그림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4"/>
        <a:stretch>
          <a:fillRect/>
        </a:stretch>
      </xdr:blipFill>
      <xdr:spPr>
        <a:xfrm>
          <a:off x="735724" y="14826156"/>
          <a:ext cx="8726118" cy="1486107"/>
        </a:xfrm>
        <a:prstGeom prst="rect">
          <a:avLst/>
        </a:prstGeom>
      </xdr:spPr>
    </xdr:pic>
    <xdr:clientData/>
  </xdr:twoCellAnchor>
  <xdr:twoCellAnchor editAs="oneCell">
    <xdr:from>
      <xdr:col>12</xdr:col>
      <xdr:colOff>0</xdr:colOff>
      <xdr:row>130</xdr:row>
      <xdr:rowOff>0</xdr:rowOff>
    </xdr:from>
    <xdr:to>
      <xdr:col>12</xdr:col>
      <xdr:colOff>304800</xdr:colOff>
      <xdr:row>131</xdr:row>
      <xdr:rowOff>85724</xdr:rowOff>
    </xdr:to>
    <xdr:sp macro="" textlink="">
      <xdr:nvSpPr>
        <xdr:cNvPr id="1025" name="AutoShape 1" descr="data:image/png;base64,iVBORw0KGgoAAAANSUhEUgAAAVoAAAAdCAYAAADre6QWAAAAAXNSR0IArs4c6QAABYBJREFUeF7tnc/rD10Ux9/fQjYWIilR/AksRJQeyUqSFAvKj1J+LCiFevQ8krKgsJAFiY2VLBQb5VcpYiPJysYOSxYWMqfm1DTdmblz7j0zd+73fDbq+7lz557XOfc995575mMG9jECRsAIGAFVAjOqvVvnRsAIGAEjABNaCwIjYASMgDIBE1plwNa9ETACRsCE1mLACBgBI6BMwIRWGbB1bwSMgBEwobUYMAJGwAgoEzChVQZs3RuBkQnMAXAIwE4A2wH8Gnk8U719EEcT2qm63cZtBLoJ/APgXwCbALwHsNGEthuao0UwRxNaEXe7yAgkTWA5gFMAtgB4DWC/Ca3IX9E4mtCK+Cd90XwAF4pVzDMAj5IeqQ1Oi8BFAD8AXAZA8fAZwHdb0fbGHY1jk9BWl8o0ug8AzgM4CuAmgPu9h5z2BTnZuxLAOwDXCuT/CbHnxMMXQa42Dym0uTKkGAri6BLaAwBuAbhdPBWPlzkd/tvv8qn4xjd6PdttAPDSs2212f8BYsL9jGGvwFTvS0KFNjcePuCGtHnoWA8SCB94ZZshGdItJ8WxLrQ8+IcAdlQg8+T9ktn2I0d7Q4Q2Rx5dWpG7zUMIbe4Mo65o2SGLANBk/eYQ2uc1Ae4K4pS/z8VezskuKGHPLQ8/KN1DByH8eQXgXotDcuHRJ+Zmg83aQjsbGEYV2qanUnWZHmOr3mciaLbNxV5ewS7sgFXfpdSb58KjT8zMBpu1hXY2MIwqtHRCebI4odzjOOyi744p5WfHyLfQPce0t0sMtgK4UxaY982HS1MHqfHgAnEqtl9TAqNVOsXnxy6Ant+H2Cz10aRyix4cJQxj+HZSHDlHS4Y/KLaaFDxU1Fyd3G1bAw8/JNkkVXurp7Y/HSkcH5gSoU2RB0/gfWXKg+2aJ+RSZye1OYaPfPwYq43milbKUNu3sdhV+wni6CO0fJrYtfXUME6rz7YAGcteekJTYTlVeuwuy7PquXIfHrGFdiweNBlX1c4EYu6sJDEQy0c+fozVJkggOgYhYci7SU3fxmI3mNDSpD1dbNV2NdRl7gVwtXiX+mtRnrW5rDW7O4FX/poCJBV7SdyoDnZsoU2FBwc8Ce1hB5e2PGHTpJPGAPcX4iMNIWjqs6tiiIV4qSA1GMqwOuYm3w7Jqu1eXRxbx1kt7+KVCx940RbpDIATAF6UE5/eOKIXFz6VvS4pUw5UIH8FwGIAZwGsLpz2VOC4IaGmbO8YkzhlHhQXLAj0zn619JC+kwgtXdfX5mrVxhg+kswPSgc+KeZlUw18iNCGMmR72nwrsVnjmi6O3kJLTycSS9q6klPOAbhe/PsHwONylUqHEfR3SiPwxxXkFIQ3EhdabXs5D9XmgKY87BiTOGUevHJa1lDHzTHYtypGajMLjHTXoSEE1T5p9UXzj8Sh/qG5TWV/tEulEs7Q1EIIQxpbl2+1WXWtYn05egut1CCXqKa+DZDayhOs/hCJbe8YQitlou1/noi0w2pKpYzxYJ+Sj9p8y6t6V7WRNCZ8r/PxrW9fSbcL/VEZ19NoCtsAqVOGsncqk1ibB/V/qczLrm0o6+IxUEpB+tsOkniYio/abBtzrvr4VuKXJK8JFVqXoySn3knCcQxqKHunMom1efhUGXAlwMGBg2gqPmrDQuwofys5dA3F7ePb0Hskc32o0LKoHqm85EDO44Mweltp3cArDU24Q9hbPcmlYv2212Y1bfXpW5MH513rW1qaoG9H/gW5KfnIx49Dt0nZtyosQoXWlRujVQ4dnq2vHKjl8t9naNrLq8MVDk/3PeRRCRZHp1o8WMi2Oe6p9QtyPsym6CMfu4Zsk6pvVRmECq3q4KxzI2AEjEAOBExoc/Ci2WAEjEDSBP4CuDt5PHAzWNsAAAAASUVORK5CYII=">
          <a:extLst>
            <a:ext uri="{FF2B5EF4-FFF2-40B4-BE49-F238E27FC236}">
              <a16:creationId xmlns:a16="http://schemas.microsoft.com/office/drawing/2014/main" id="{00000000-0008-0000-0500-000001040000}"/>
            </a:ext>
          </a:extLst>
        </xdr:cNvPr>
        <xdr:cNvSpPr>
          <a:spLocks noChangeAspect="1" noChangeArrowheads="1"/>
        </xdr:cNvSpPr>
      </xdr:nvSpPr>
      <xdr:spPr bwMode="auto">
        <a:xfrm>
          <a:off x="8229600" y="17002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109412</xdr:colOff>
      <xdr:row>95</xdr:row>
      <xdr:rowOff>26276</xdr:rowOff>
    </xdr:from>
    <xdr:to>
      <xdr:col>11</xdr:col>
      <xdr:colOff>425220</xdr:colOff>
      <xdr:row>121</xdr:row>
      <xdr:rowOff>62669</xdr:rowOff>
    </xdr:to>
    <xdr:pic>
      <xdr:nvPicPr>
        <xdr:cNvPr id="8" name="그림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5"/>
        <a:stretch>
          <a:fillRect/>
        </a:stretch>
      </xdr:blipFill>
      <xdr:spPr>
        <a:xfrm>
          <a:off x="792584" y="17053035"/>
          <a:ext cx="7147533" cy="5501772"/>
        </a:xfrm>
        <a:prstGeom prst="rect">
          <a:avLst/>
        </a:prstGeom>
      </xdr:spPr>
    </xdr:pic>
    <xdr:clientData/>
  </xdr:twoCellAnchor>
  <xdr:twoCellAnchor editAs="oneCell">
    <xdr:from>
      <xdr:col>0</xdr:col>
      <xdr:colOff>613570</xdr:colOff>
      <xdr:row>1</xdr:row>
      <xdr:rowOff>107674</xdr:rowOff>
    </xdr:from>
    <xdr:to>
      <xdr:col>3</xdr:col>
      <xdr:colOff>101115</xdr:colOff>
      <xdr:row>13</xdr:row>
      <xdr:rowOff>58143</xdr:rowOff>
    </xdr:to>
    <xdr:pic>
      <xdr:nvPicPr>
        <xdr:cNvPr id="2" name="그림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6"/>
        <a:stretch>
          <a:fillRect/>
        </a:stretch>
      </xdr:blipFill>
      <xdr:spPr>
        <a:xfrm>
          <a:off x="613570" y="314739"/>
          <a:ext cx="1549915" cy="2435252"/>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9</xdr:col>
      <xdr:colOff>486813</xdr:colOff>
      <xdr:row>27</xdr:row>
      <xdr:rowOff>182997</xdr:rowOff>
    </xdr:to>
    <xdr:pic>
      <xdr:nvPicPr>
        <xdr:cNvPr id="2" name="그림 1">
          <a:extLst>
            <a:ext uri="{FF2B5EF4-FFF2-40B4-BE49-F238E27FC236}">
              <a16:creationId xmlns:a16="http://schemas.microsoft.com/office/drawing/2014/main" id="{00000000-0008-0000-3000-000002000000}"/>
            </a:ext>
          </a:extLst>
        </xdr:cNvPr>
        <xdr:cNvPicPr>
          <a:picLocks noChangeAspect="1"/>
        </xdr:cNvPicPr>
      </xdr:nvPicPr>
      <xdr:blipFill>
        <a:blip xmlns:r="http://schemas.openxmlformats.org/officeDocument/2006/relationships" r:embed="rId1"/>
        <a:stretch>
          <a:fillRect/>
        </a:stretch>
      </xdr:blipFill>
      <xdr:spPr>
        <a:xfrm>
          <a:off x="865669" y="1028700"/>
          <a:ext cx="5793344" cy="4812147"/>
        </a:xfrm>
        <a:prstGeom prst="rect">
          <a:avLst/>
        </a:prstGeom>
      </xdr:spPr>
    </xdr:pic>
    <xdr:clientData/>
  </xdr:twoCellAnchor>
  <xdr:twoCellAnchor>
    <xdr:from>
      <xdr:col>12</xdr:col>
      <xdr:colOff>285749</xdr:colOff>
      <xdr:row>12</xdr:row>
      <xdr:rowOff>139211</xdr:rowOff>
    </xdr:from>
    <xdr:to>
      <xdr:col>12</xdr:col>
      <xdr:colOff>505557</xdr:colOff>
      <xdr:row>13</xdr:row>
      <xdr:rowOff>146539</xdr:rowOff>
    </xdr:to>
    <xdr:sp macro="" textlink="">
      <xdr:nvSpPr>
        <xdr:cNvPr id="3" name="타원 2">
          <a:extLst>
            <a:ext uri="{FF2B5EF4-FFF2-40B4-BE49-F238E27FC236}">
              <a16:creationId xmlns:a16="http://schemas.microsoft.com/office/drawing/2014/main" id="{00000000-0008-0000-3000-000003000000}"/>
            </a:ext>
          </a:extLst>
        </xdr:cNvPr>
        <xdr:cNvSpPr/>
      </xdr:nvSpPr>
      <xdr:spPr>
        <a:xfrm rot="12202146">
          <a:off x="851534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329710</xdr:colOff>
      <xdr:row>22</xdr:row>
      <xdr:rowOff>205152</xdr:rowOff>
    </xdr:from>
    <xdr:to>
      <xdr:col>12</xdr:col>
      <xdr:colOff>549518</xdr:colOff>
      <xdr:row>23</xdr:row>
      <xdr:rowOff>212479</xdr:rowOff>
    </xdr:to>
    <xdr:sp macro="" textlink="">
      <xdr:nvSpPr>
        <xdr:cNvPr id="4" name="타원 3">
          <a:extLst>
            <a:ext uri="{FF2B5EF4-FFF2-40B4-BE49-F238E27FC236}">
              <a16:creationId xmlns:a16="http://schemas.microsoft.com/office/drawing/2014/main" id="{00000000-0008-0000-3000-000004000000}"/>
            </a:ext>
          </a:extLst>
        </xdr:cNvPr>
        <xdr:cNvSpPr/>
      </xdr:nvSpPr>
      <xdr:spPr>
        <a:xfrm rot="12202146">
          <a:off x="855931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278421</xdr:colOff>
      <xdr:row>14</xdr:row>
      <xdr:rowOff>87922</xdr:rowOff>
    </xdr:from>
    <xdr:to>
      <xdr:col>12</xdr:col>
      <xdr:colOff>498229</xdr:colOff>
      <xdr:row>15</xdr:row>
      <xdr:rowOff>95249</xdr:rowOff>
    </xdr:to>
    <xdr:sp macro="" textlink="">
      <xdr:nvSpPr>
        <xdr:cNvPr id="5" name="타원 4">
          <a:extLst>
            <a:ext uri="{FF2B5EF4-FFF2-40B4-BE49-F238E27FC236}">
              <a16:creationId xmlns:a16="http://schemas.microsoft.com/office/drawing/2014/main" id="{00000000-0008-0000-3000-000005000000}"/>
            </a:ext>
          </a:extLst>
        </xdr:cNvPr>
        <xdr:cNvSpPr/>
      </xdr:nvSpPr>
      <xdr:spPr>
        <a:xfrm rot="12202146">
          <a:off x="850802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3000-000006000000}"/>
                </a:ext>
              </a:extLst>
            </xdr:cNvPr>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36</xdr:col>
      <xdr:colOff>276400</xdr:colOff>
      <xdr:row>13</xdr:row>
      <xdr:rowOff>49016</xdr:rowOff>
    </xdr:from>
    <xdr:to>
      <xdr:col>36</xdr:col>
      <xdr:colOff>496208</xdr:colOff>
      <xdr:row>14</xdr:row>
      <xdr:rowOff>56343</xdr:rowOff>
    </xdr:to>
    <xdr:sp macro="" textlink="">
      <xdr:nvSpPr>
        <xdr:cNvPr id="7" name="타원 6">
          <a:extLst>
            <a:ext uri="{FF2B5EF4-FFF2-40B4-BE49-F238E27FC236}">
              <a16:creationId xmlns:a16="http://schemas.microsoft.com/office/drawing/2014/main" id="{00000000-0008-0000-3000-000007000000}"/>
            </a:ext>
          </a:extLst>
        </xdr:cNvPr>
        <xdr:cNvSpPr/>
      </xdr:nvSpPr>
      <xdr:spPr>
        <a:xfrm rot="12202146">
          <a:off x="22088650" y="27731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37</xdr:col>
      <xdr:colOff>410308</xdr:colOff>
      <xdr:row>16</xdr:row>
      <xdr:rowOff>54249</xdr:rowOff>
    </xdr:from>
    <xdr:ext cx="330283" cy="75142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0000000-0008-0000-3000-000008000000}"/>
                </a:ext>
              </a:extLst>
            </xdr:cNvPr>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8" name="TextBox 7"/>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36</xdr:col>
      <xdr:colOff>276400</xdr:colOff>
      <xdr:row>14</xdr:row>
      <xdr:rowOff>153791</xdr:rowOff>
    </xdr:from>
    <xdr:to>
      <xdr:col>36</xdr:col>
      <xdr:colOff>496208</xdr:colOff>
      <xdr:row>15</xdr:row>
      <xdr:rowOff>161118</xdr:rowOff>
    </xdr:to>
    <xdr:sp macro="" textlink="">
      <xdr:nvSpPr>
        <xdr:cNvPr id="9" name="타원 8">
          <a:extLst>
            <a:ext uri="{FF2B5EF4-FFF2-40B4-BE49-F238E27FC236}">
              <a16:creationId xmlns:a16="http://schemas.microsoft.com/office/drawing/2014/main" id="{00000000-0008-0000-3000-000009000000}"/>
            </a:ext>
          </a:extLst>
        </xdr:cNvPr>
        <xdr:cNvSpPr/>
      </xdr:nvSpPr>
      <xdr:spPr>
        <a:xfrm rot="12202146">
          <a:off x="22088650" y="30874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36</xdr:col>
      <xdr:colOff>276400</xdr:colOff>
      <xdr:row>19</xdr:row>
      <xdr:rowOff>49016</xdr:rowOff>
    </xdr:from>
    <xdr:to>
      <xdr:col>36</xdr:col>
      <xdr:colOff>496208</xdr:colOff>
      <xdr:row>20</xdr:row>
      <xdr:rowOff>56343</xdr:rowOff>
    </xdr:to>
    <xdr:sp macro="" textlink="">
      <xdr:nvSpPr>
        <xdr:cNvPr id="10" name="타원 9">
          <a:extLst>
            <a:ext uri="{FF2B5EF4-FFF2-40B4-BE49-F238E27FC236}">
              <a16:creationId xmlns:a16="http://schemas.microsoft.com/office/drawing/2014/main" id="{00000000-0008-0000-3000-00000A000000}"/>
            </a:ext>
          </a:extLst>
        </xdr:cNvPr>
        <xdr:cNvSpPr/>
      </xdr:nvSpPr>
      <xdr:spPr>
        <a:xfrm rot="12202146">
          <a:off x="22088650" y="40304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36</xdr:col>
      <xdr:colOff>200025</xdr:colOff>
      <xdr:row>16</xdr:row>
      <xdr:rowOff>1495</xdr:rowOff>
    </xdr:from>
    <xdr:ext cx="330283" cy="75142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3000-00000B000000}"/>
                </a:ext>
              </a:extLst>
            </xdr:cNvPr>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1" name="TextBox 10"/>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252904</xdr:colOff>
      <xdr:row>10</xdr:row>
      <xdr:rowOff>126074</xdr:rowOff>
    </xdr:from>
    <xdr:to>
      <xdr:col>12</xdr:col>
      <xdr:colOff>472712</xdr:colOff>
      <xdr:row>11</xdr:row>
      <xdr:rowOff>113694</xdr:rowOff>
    </xdr:to>
    <xdr:sp macro="" textlink="">
      <xdr:nvSpPr>
        <xdr:cNvPr id="12" name="타원 11">
          <a:extLst>
            <a:ext uri="{FF2B5EF4-FFF2-40B4-BE49-F238E27FC236}">
              <a16:creationId xmlns:a16="http://schemas.microsoft.com/office/drawing/2014/main" id="{00000000-0008-0000-3000-00000C000000}"/>
            </a:ext>
          </a:extLst>
        </xdr:cNvPr>
        <xdr:cNvSpPr/>
      </xdr:nvSpPr>
      <xdr:spPr>
        <a:xfrm rot="12202146">
          <a:off x="8482504" y="2221574"/>
          <a:ext cx="219808" cy="19717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464654</xdr:colOff>
      <xdr:row>8</xdr:row>
      <xdr:rowOff>137948</xdr:rowOff>
    </xdr:from>
    <xdr:to>
      <xdr:col>13</xdr:col>
      <xdr:colOff>650327</xdr:colOff>
      <xdr:row>10</xdr:row>
      <xdr:rowOff>195066</xdr:rowOff>
    </xdr:to>
    <xdr:cxnSp macro="">
      <xdr:nvCxnSpPr>
        <xdr:cNvPr id="13" name="직선 연결선 12">
          <a:extLst>
            <a:ext uri="{FF2B5EF4-FFF2-40B4-BE49-F238E27FC236}">
              <a16:creationId xmlns:a16="http://schemas.microsoft.com/office/drawing/2014/main" id="{00000000-0008-0000-3000-00000D000000}"/>
            </a:ext>
          </a:extLst>
        </xdr:cNvPr>
        <xdr:cNvCxnSpPr>
          <a:stCxn id="12" idx="3"/>
        </xdr:cNvCxnSpPr>
      </xdr:nvCxnSpPr>
      <xdr:spPr>
        <a:xfrm flipV="1">
          <a:off x="8694254" y="1814348"/>
          <a:ext cx="871473" cy="476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0</xdr:colOff>
      <xdr:row>47</xdr:row>
      <xdr:rowOff>0</xdr:rowOff>
    </xdr:from>
    <xdr:ext cx="330283" cy="751424"/>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3000-000015000000}"/>
                </a:ext>
              </a:extLst>
            </xdr:cNvPr>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1" name="TextBox 20"/>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32</xdr:col>
      <xdr:colOff>273963</xdr:colOff>
      <xdr:row>10</xdr:row>
      <xdr:rowOff>50014</xdr:rowOff>
    </xdr:from>
    <xdr:to>
      <xdr:col>32</xdr:col>
      <xdr:colOff>493771</xdr:colOff>
      <xdr:row>11</xdr:row>
      <xdr:rowOff>57341</xdr:rowOff>
    </xdr:to>
    <xdr:sp macro="" textlink="">
      <xdr:nvSpPr>
        <xdr:cNvPr id="22" name="타원 21">
          <a:extLst>
            <a:ext uri="{FF2B5EF4-FFF2-40B4-BE49-F238E27FC236}">
              <a16:creationId xmlns:a16="http://schemas.microsoft.com/office/drawing/2014/main" id="{00000000-0008-0000-3000-000016000000}"/>
            </a:ext>
          </a:extLst>
        </xdr:cNvPr>
        <xdr:cNvSpPr/>
      </xdr:nvSpPr>
      <xdr:spPr>
        <a:xfrm rot="12202146">
          <a:off x="19343013" y="2145514"/>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285749</xdr:colOff>
      <xdr:row>12</xdr:row>
      <xdr:rowOff>139211</xdr:rowOff>
    </xdr:from>
    <xdr:to>
      <xdr:col>32</xdr:col>
      <xdr:colOff>505557</xdr:colOff>
      <xdr:row>13</xdr:row>
      <xdr:rowOff>146539</xdr:rowOff>
    </xdr:to>
    <xdr:sp macro="" textlink="">
      <xdr:nvSpPr>
        <xdr:cNvPr id="23" name="타원 22">
          <a:extLst>
            <a:ext uri="{FF2B5EF4-FFF2-40B4-BE49-F238E27FC236}">
              <a16:creationId xmlns:a16="http://schemas.microsoft.com/office/drawing/2014/main" id="{00000000-0008-0000-3000-000017000000}"/>
            </a:ext>
          </a:extLst>
        </xdr:cNvPr>
        <xdr:cNvSpPr/>
      </xdr:nvSpPr>
      <xdr:spPr>
        <a:xfrm rot="12202146">
          <a:off x="1935479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329710</xdr:colOff>
      <xdr:row>22</xdr:row>
      <xdr:rowOff>205152</xdr:rowOff>
    </xdr:from>
    <xdr:to>
      <xdr:col>32</xdr:col>
      <xdr:colOff>549518</xdr:colOff>
      <xdr:row>23</xdr:row>
      <xdr:rowOff>212479</xdr:rowOff>
    </xdr:to>
    <xdr:sp macro="" textlink="">
      <xdr:nvSpPr>
        <xdr:cNvPr id="24" name="타원 23">
          <a:extLst>
            <a:ext uri="{FF2B5EF4-FFF2-40B4-BE49-F238E27FC236}">
              <a16:creationId xmlns:a16="http://schemas.microsoft.com/office/drawing/2014/main" id="{00000000-0008-0000-3000-000018000000}"/>
            </a:ext>
          </a:extLst>
        </xdr:cNvPr>
        <xdr:cNvSpPr/>
      </xdr:nvSpPr>
      <xdr:spPr>
        <a:xfrm rot="12202146">
          <a:off x="1939876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278421</xdr:colOff>
      <xdr:row>14</xdr:row>
      <xdr:rowOff>87922</xdr:rowOff>
    </xdr:from>
    <xdr:to>
      <xdr:col>32</xdr:col>
      <xdr:colOff>498229</xdr:colOff>
      <xdr:row>15</xdr:row>
      <xdr:rowOff>95249</xdr:rowOff>
    </xdr:to>
    <xdr:sp macro="" textlink="">
      <xdr:nvSpPr>
        <xdr:cNvPr id="25" name="타원 24">
          <a:extLst>
            <a:ext uri="{FF2B5EF4-FFF2-40B4-BE49-F238E27FC236}">
              <a16:creationId xmlns:a16="http://schemas.microsoft.com/office/drawing/2014/main" id="{00000000-0008-0000-3000-000019000000}"/>
            </a:ext>
          </a:extLst>
        </xdr:cNvPr>
        <xdr:cNvSpPr/>
      </xdr:nvSpPr>
      <xdr:spPr>
        <a:xfrm rot="12202146">
          <a:off x="1934747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3000-00001A000000}"/>
                </a:ext>
              </a:extLst>
            </xdr:cNvPr>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6" name="TextBox 25"/>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24</xdr:col>
      <xdr:colOff>285749</xdr:colOff>
      <xdr:row>12</xdr:row>
      <xdr:rowOff>139211</xdr:rowOff>
    </xdr:from>
    <xdr:to>
      <xdr:col>24</xdr:col>
      <xdr:colOff>505557</xdr:colOff>
      <xdr:row>13</xdr:row>
      <xdr:rowOff>146539</xdr:rowOff>
    </xdr:to>
    <xdr:sp macro="" textlink="">
      <xdr:nvSpPr>
        <xdr:cNvPr id="27" name="타원 26">
          <a:extLst>
            <a:ext uri="{FF2B5EF4-FFF2-40B4-BE49-F238E27FC236}">
              <a16:creationId xmlns:a16="http://schemas.microsoft.com/office/drawing/2014/main" id="{00000000-0008-0000-3000-00001B000000}"/>
            </a:ext>
          </a:extLst>
        </xdr:cNvPr>
        <xdr:cNvSpPr/>
      </xdr:nvSpPr>
      <xdr:spPr>
        <a:xfrm rot="12202146">
          <a:off x="8535227" y="2623994"/>
          <a:ext cx="219808" cy="21439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329710</xdr:colOff>
      <xdr:row>22</xdr:row>
      <xdr:rowOff>205152</xdr:rowOff>
    </xdr:from>
    <xdr:to>
      <xdr:col>24</xdr:col>
      <xdr:colOff>549518</xdr:colOff>
      <xdr:row>23</xdr:row>
      <xdr:rowOff>212479</xdr:rowOff>
    </xdr:to>
    <xdr:sp macro="" textlink="">
      <xdr:nvSpPr>
        <xdr:cNvPr id="28" name="타원 27">
          <a:extLst>
            <a:ext uri="{FF2B5EF4-FFF2-40B4-BE49-F238E27FC236}">
              <a16:creationId xmlns:a16="http://schemas.microsoft.com/office/drawing/2014/main" id="{00000000-0008-0000-3000-00001C000000}"/>
            </a:ext>
          </a:extLst>
        </xdr:cNvPr>
        <xdr:cNvSpPr/>
      </xdr:nvSpPr>
      <xdr:spPr>
        <a:xfrm rot="12202146">
          <a:off x="8579188" y="4760587"/>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278421</xdr:colOff>
      <xdr:row>14</xdr:row>
      <xdr:rowOff>87922</xdr:rowOff>
    </xdr:from>
    <xdr:to>
      <xdr:col>24</xdr:col>
      <xdr:colOff>498229</xdr:colOff>
      <xdr:row>15</xdr:row>
      <xdr:rowOff>95249</xdr:rowOff>
    </xdr:to>
    <xdr:sp macro="" textlink="">
      <xdr:nvSpPr>
        <xdr:cNvPr id="29" name="타원 28">
          <a:extLst>
            <a:ext uri="{FF2B5EF4-FFF2-40B4-BE49-F238E27FC236}">
              <a16:creationId xmlns:a16="http://schemas.microsoft.com/office/drawing/2014/main" id="{00000000-0008-0000-3000-00001D000000}"/>
            </a:ext>
          </a:extLst>
        </xdr:cNvPr>
        <xdr:cNvSpPr/>
      </xdr:nvSpPr>
      <xdr:spPr>
        <a:xfrm rot="12202146">
          <a:off x="8527899" y="2986835"/>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24</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3000-00001E000000}"/>
                </a:ext>
              </a:extLst>
            </xdr:cNvPr>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0" name="TextBox 29"/>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24</xdr:col>
      <xdr:colOff>252904</xdr:colOff>
      <xdr:row>10</xdr:row>
      <xdr:rowOff>126074</xdr:rowOff>
    </xdr:from>
    <xdr:to>
      <xdr:col>24</xdr:col>
      <xdr:colOff>472712</xdr:colOff>
      <xdr:row>11</xdr:row>
      <xdr:rowOff>113694</xdr:rowOff>
    </xdr:to>
    <xdr:sp macro="" textlink="">
      <xdr:nvSpPr>
        <xdr:cNvPr id="31" name="타원 30">
          <a:extLst>
            <a:ext uri="{FF2B5EF4-FFF2-40B4-BE49-F238E27FC236}">
              <a16:creationId xmlns:a16="http://schemas.microsoft.com/office/drawing/2014/main" id="{00000000-0008-0000-3000-00001F000000}"/>
            </a:ext>
          </a:extLst>
        </xdr:cNvPr>
        <xdr:cNvSpPr/>
      </xdr:nvSpPr>
      <xdr:spPr>
        <a:xfrm rot="12202146">
          <a:off x="8502382" y="2196726"/>
          <a:ext cx="219808" cy="19468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8</xdr:col>
      <xdr:colOff>648194</xdr:colOff>
      <xdr:row>34</xdr:row>
      <xdr:rowOff>28451</xdr:rowOff>
    </xdr:from>
    <xdr:to>
      <xdr:col>37</xdr:col>
      <xdr:colOff>544285</xdr:colOff>
      <xdr:row>55</xdr:row>
      <xdr:rowOff>53731</xdr:rowOff>
    </xdr:to>
    <xdr:pic>
      <xdr:nvPicPr>
        <xdr:cNvPr id="33" name="그림 32">
          <a:extLst>
            <a:ext uri="{FF2B5EF4-FFF2-40B4-BE49-F238E27FC236}">
              <a16:creationId xmlns:a16="http://schemas.microsoft.com/office/drawing/2014/main" id="{00000000-0008-0000-3000-000021000000}"/>
            </a:ext>
          </a:extLst>
        </xdr:cNvPr>
        <xdr:cNvPicPr>
          <a:picLocks noChangeAspect="1"/>
        </xdr:cNvPicPr>
      </xdr:nvPicPr>
      <xdr:blipFill>
        <a:blip xmlns:r="http://schemas.openxmlformats.org/officeDocument/2006/relationships" r:embed="rId2"/>
        <a:stretch>
          <a:fillRect/>
        </a:stretch>
      </xdr:blipFill>
      <xdr:spPr>
        <a:xfrm>
          <a:off x="6091051" y="6981701"/>
          <a:ext cx="15966127" cy="4311530"/>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xdr:from>
      <xdr:col>12</xdr:col>
      <xdr:colOff>285749</xdr:colOff>
      <xdr:row>12</xdr:row>
      <xdr:rowOff>139211</xdr:rowOff>
    </xdr:from>
    <xdr:to>
      <xdr:col>12</xdr:col>
      <xdr:colOff>505557</xdr:colOff>
      <xdr:row>13</xdr:row>
      <xdr:rowOff>146539</xdr:rowOff>
    </xdr:to>
    <xdr:sp macro="" textlink="">
      <xdr:nvSpPr>
        <xdr:cNvPr id="3" name="타원 2">
          <a:extLst>
            <a:ext uri="{FF2B5EF4-FFF2-40B4-BE49-F238E27FC236}">
              <a16:creationId xmlns:a16="http://schemas.microsoft.com/office/drawing/2014/main" id="{00000000-0008-0000-3100-000003000000}"/>
            </a:ext>
          </a:extLst>
        </xdr:cNvPr>
        <xdr:cNvSpPr/>
      </xdr:nvSpPr>
      <xdr:spPr>
        <a:xfrm rot="12202146">
          <a:off x="851534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329710</xdr:colOff>
      <xdr:row>22</xdr:row>
      <xdr:rowOff>205152</xdr:rowOff>
    </xdr:from>
    <xdr:to>
      <xdr:col>12</xdr:col>
      <xdr:colOff>549518</xdr:colOff>
      <xdr:row>23</xdr:row>
      <xdr:rowOff>212479</xdr:rowOff>
    </xdr:to>
    <xdr:sp macro="" textlink="">
      <xdr:nvSpPr>
        <xdr:cNvPr id="4" name="타원 3">
          <a:extLst>
            <a:ext uri="{FF2B5EF4-FFF2-40B4-BE49-F238E27FC236}">
              <a16:creationId xmlns:a16="http://schemas.microsoft.com/office/drawing/2014/main" id="{00000000-0008-0000-3100-000004000000}"/>
            </a:ext>
          </a:extLst>
        </xdr:cNvPr>
        <xdr:cNvSpPr/>
      </xdr:nvSpPr>
      <xdr:spPr>
        <a:xfrm rot="12202146">
          <a:off x="855931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278421</xdr:colOff>
      <xdr:row>14</xdr:row>
      <xdr:rowOff>87922</xdr:rowOff>
    </xdr:from>
    <xdr:to>
      <xdr:col>12</xdr:col>
      <xdr:colOff>498229</xdr:colOff>
      <xdr:row>15</xdr:row>
      <xdr:rowOff>95249</xdr:rowOff>
    </xdr:to>
    <xdr:sp macro="" textlink="">
      <xdr:nvSpPr>
        <xdr:cNvPr id="5" name="타원 4">
          <a:extLst>
            <a:ext uri="{FF2B5EF4-FFF2-40B4-BE49-F238E27FC236}">
              <a16:creationId xmlns:a16="http://schemas.microsoft.com/office/drawing/2014/main" id="{00000000-0008-0000-3100-000005000000}"/>
            </a:ext>
          </a:extLst>
        </xdr:cNvPr>
        <xdr:cNvSpPr/>
      </xdr:nvSpPr>
      <xdr:spPr>
        <a:xfrm rot="12202146">
          <a:off x="850802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3100-000006000000}"/>
                </a:ext>
              </a:extLst>
            </xdr:cNvPr>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13</xdr:row>
      <xdr:rowOff>49016</xdr:rowOff>
    </xdr:from>
    <xdr:to>
      <xdr:col>41</xdr:col>
      <xdr:colOff>496208</xdr:colOff>
      <xdr:row>14</xdr:row>
      <xdr:rowOff>56343</xdr:rowOff>
    </xdr:to>
    <xdr:sp macro="" textlink="">
      <xdr:nvSpPr>
        <xdr:cNvPr id="7" name="타원 6">
          <a:extLst>
            <a:ext uri="{FF2B5EF4-FFF2-40B4-BE49-F238E27FC236}">
              <a16:creationId xmlns:a16="http://schemas.microsoft.com/office/drawing/2014/main" id="{00000000-0008-0000-3100-000007000000}"/>
            </a:ext>
          </a:extLst>
        </xdr:cNvPr>
        <xdr:cNvSpPr/>
      </xdr:nvSpPr>
      <xdr:spPr>
        <a:xfrm rot="12202146">
          <a:off x="22088650" y="27731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410308</xdr:colOff>
      <xdr:row>16</xdr:row>
      <xdr:rowOff>54249</xdr:rowOff>
    </xdr:from>
    <xdr:ext cx="330283" cy="75142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0000000-0008-0000-3100-000008000000}"/>
                </a:ext>
              </a:extLst>
            </xdr:cNvPr>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8" name="TextBox 7"/>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14</xdr:row>
      <xdr:rowOff>153791</xdr:rowOff>
    </xdr:from>
    <xdr:to>
      <xdr:col>41</xdr:col>
      <xdr:colOff>496208</xdr:colOff>
      <xdr:row>15</xdr:row>
      <xdr:rowOff>161118</xdr:rowOff>
    </xdr:to>
    <xdr:sp macro="" textlink="">
      <xdr:nvSpPr>
        <xdr:cNvPr id="9" name="타원 8">
          <a:extLst>
            <a:ext uri="{FF2B5EF4-FFF2-40B4-BE49-F238E27FC236}">
              <a16:creationId xmlns:a16="http://schemas.microsoft.com/office/drawing/2014/main" id="{00000000-0008-0000-3100-000009000000}"/>
            </a:ext>
          </a:extLst>
        </xdr:cNvPr>
        <xdr:cNvSpPr/>
      </xdr:nvSpPr>
      <xdr:spPr>
        <a:xfrm rot="12202146">
          <a:off x="22088650" y="30874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41</xdr:col>
      <xdr:colOff>276400</xdr:colOff>
      <xdr:row>19</xdr:row>
      <xdr:rowOff>49016</xdr:rowOff>
    </xdr:from>
    <xdr:to>
      <xdr:col>41</xdr:col>
      <xdr:colOff>496208</xdr:colOff>
      <xdr:row>20</xdr:row>
      <xdr:rowOff>56343</xdr:rowOff>
    </xdr:to>
    <xdr:sp macro="" textlink="">
      <xdr:nvSpPr>
        <xdr:cNvPr id="10" name="타원 9">
          <a:extLst>
            <a:ext uri="{FF2B5EF4-FFF2-40B4-BE49-F238E27FC236}">
              <a16:creationId xmlns:a16="http://schemas.microsoft.com/office/drawing/2014/main" id="{00000000-0008-0000-3100-00000A000000}"/>
            </a:ext>
          </a:extLst>
        </xdr:cNvPr>
        <xdr:cNvSpPr/>
      </xdr:nvSpPr>
      <xdr:spPr>
        <a:xfrm rot="12202146">
          <a:off x="22088650" y="40304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41</xdr:col>
      <xdr:colOff>200025</xdr:colOff>
      <xdr:row>16</xdr:row>
      <xdr:rowOff>1495</xdr:rowOff>
    </xdr:from>
    <xdr:ext cx="330283" cy="75142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3100-00000B000000}"/>
                </a:ext>
              </a:extLst>
            </xdr:cNvPr>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1" name="TextBox 10"/>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252904</xdr:colOff>
      <xdr:row>10</xdr:row>
      <xdr:rowOff>126074</xdr:rowOff>
    </xdr:from>
    <xdr:to>
      <xdr:col>12</xdr:col>
      <xdr:colOff>472712</xdr:colOff>
      <xdr:row>11</xdr:row>
      <xdr:rowOff>113694</xdr:rowOff>
    </xdr:to>
    <xdr:sp macro="" textlink="">
      <xdr:nvSpPr>
        <xdr:cNvPr id="12" name="타원 11">
          <a:extLst>
            <a:ext uri="{FF2B5EF4-FFF2-40B4-BE49-F238E27FC236}">
              <a16:creationId xmlns:a16="http://schemas.microsoft.com/office/drawing/2014/main" id="{00000000-0008-0000-3100-00000C000000}"/>
            </a:ext>
          </a:extLst>
        </xdr:cNvPr>
        <xdr:cNvSpPr/>
      </xdr:nvSpPr>
      <xdr:spPr>
        <a:xfrm rot="12202146">
          <a:off x="8482504" y="2221574"/>
          <a:ext cx="219808" cy="19717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464654</xdr:colOff>
      <xdr:row>8</xdr:row>
      <xdr:rowOff>137948</xdr:rowOff>
    </xdr:from>
    <xdr:to>
      <xdr:col>16</xdr:col>
      <xdr:colOff>650327</xdr:colOff>
      <xdr:row>10</xdr:row>
      <xdr:rowOff>195066</xdr:rowOff>
    </xdr:to>
    <xdr:cxnSp macro="">
      <xdr:nvCxnSpPr>
        <xdr:cNvPr id="13" name="직선 연결선 12">
          <a:extLst>
            <a:ext uri="{FF2B5EF4-FFF2-40B4-BE49-F238E27FC236}">
              <a16:creationId xmlns:a16="http://schemas.microsoft.com/office/drawing/2014/main" id="{00000000-0008-0000-3100-00000D000000}"/>
            </a:ext>
          </a:extLst>
        </xdr:cNvPr>
        <xdr:cNvCxnSpPr>
          <a:stCxn id="12" idx="3"/>
        </xdr:cNvCxnSpPr>
      </xdr:nvCxnSpPr>
      <xdr:spPr>
        <a:xfrm flipV="1">
          <a:off x="8694254" y="1814348"/>
          <a:ext cx="871473" cy="476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285749</xdr:colOff>
      <xdr:row>12</xdr:row>
      <xdr:rowOff>139211</xdr:rowOff>
    </xdr:from>
    <xdr:to>
      <xdr:col>21</xdr:col>
      <xdr:colOff>505557</xdr:colOff>
      <xdr:row>13</xdr:row>
      <xdr:rowOff>146539</xdr:rowOff>
    </xdr:to>
    <xdr:sp macro="" textlink="">
      <xdr:nvSpPr>
        <xdr:cNvPr id="14" name="타원 13">
          <a:extLst>
            <a:ext uri="{FF2B5EF4-FFF2-40B4-BE49-F238E27FC236}">
              <a16:creationId xmlns:a16="http://schemas.microsoft.com/office/drawing/2014/main" id="{00000000-0008-0000-3100-00000E000000}"/>
            </a:ext>
          </a:extLst>
        </xdr:cNvPr>
        <xdr:cNvSpPr/>
      </xdr:nvSpPr>
      <xdr:spPr>
        <a:xfrm rot="12202146">
          <a:off x="11172824" y="2653811"/>
          <a:ext cx="115033"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329710</xdr:colOff>
      <xdr:row>22</xdr:row>
      <xdr:rowOff>205152</xdr:rowOff>
    </xdr:from>
    <xdr:to>
      <xdr:col>21</xdr:col>
      <xdr:colOff>549518</xdr:colOff>
      <xdr:row>23</xdr:row>
      <xdr:rowOff>212479</xdr:rowOff>
    </xdr:to>
    <xdr:sp macro="" textlink="">
      <xdr:nvSpPr>
        <xdr:cNvPr id="15" name="타원 14">
          <a:extLst>
            <a:ext uri="{FF2B5EF4-FFF2-40B4-BE49-F238E27FC236}">
              <a16:creationId xmlns:a16="http://schemas.microsoft.com/office/drawing/2014/main" id="{00000000-0008-0000-3100-00000F000000}"/>
            </a:ext>
          </a:extLst>
        </xdr:cNvPr>
        <xdr:cNvSpPr/>
      </xdr:nvSpPr>
      <xdr:spPr>
        <a:xfrm rot="12202146">
          <a:off x="11216785" y="4815252"/>
          <a:ext cx="674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278421</xdr:colOff>
      <xdr:row>14</xdr:row>
      <xdr:rowOff>87922</xdr:rowOff>
    </xdr:from>
    <xdr:to>
      <xdr:col>21</xdr:col>
      <xdr:colOff>498229</xdr:colOff>
      <xdr:row>15</xdr:row>
      <xdr:rowOff>95249</xdr:rowOff>
    </xdr:to>
    <xdr:sp macro="" textlink="">
      <xdr:nvSpPr>
        <xdr:cNvPr id="16" name="타원 15">
          <a:extLst>
            <a:ext uri="{FF2B5EF4-FFF2-40B4-BE49-F238E27FC236}">
              <a16:creationId xmlns:a16="http://schemas.microsoft.com/office/drawing/2014/main" id="{00000000-0008-0000-3100-000010000000}"/>
            </a:ext>
          </a:extLst>
        </xdr:cNvPr>
        <xdr:cNvSpPr/>
      </xdr:nvSpPr>
      <xdr:spPr>
        <a:xfrm rot="12202146">
          <a:off x="11165496" y="3021622"/>
          <a:ext cx="12455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21</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0000000-0008-0000-3100-000011000000}"/>
                </a:ext>
              </a:extLst>
            </xdr:cNvPr>
            <xdr:cNvSpPr txBox="1"/>
          </xdr:nvSpPr>
          <xdr:spPr>
            <a:xfrm>
              <a:off x="11111279"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7" name="TextBox 16"/>
            <xdr:cNvSpPr txBox="1"/>
          </xdr:nvSpPr>
          <xdr:spPr>
            <a:xfrm>
              <a:off x="11111279"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21</xdr:col>
      <xdr:colOff>252904</xdr:colOff>
      <xdr:row>10</xdr:row>
      <xdr:rowOff>126074</xdr:rowOff>
    </xdr:from>
    <xdr:to>
      <xdr:col>21</xdr:col>
      <xdr:colOff>472712</xdr:colOff>
      <xdr:row>11</xdr:row>
      <xdr:rowOff>113694</xdr:rowOff>
    </xdr:to>
    <xdr:sp macro="" textlink="">
      <xdr:nvSpPr>
        <xdr:cNvPr id="18" name="타원 17">
          <a:extLst>
            <a:ext uri="{FF2B5EF4-FFF2-40B4-BE49-F238E27FC236}">
              <a16:creationId xmlns:a16="http://schemas.microsoft.com/office/drawing/2014/main" id="{00000000-0008-0000-3100-000012000000}"/>
            </a:ext>
          </a:extLst>
        </xdr:cNvPr>
        <xdr:cNvSpPr/>
      </xdr:nvSpPr>
      <xdr:spPr>
        <a:xfrm rot="12202146">
          <a:off x="11139979" y="2221574"/>
          <a:ext cx="143608" cy="19717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464654</xdr:colOff>
      <xdr:row>8</xdr:row>
      <xdr:rowOff>137948</xdr:rowOff>
    </xdr:from>
    <xdr:to>
      <xdr:col>22</xdr:col>
      <xdr:colOff>650327</xdr:colOff>
      <xdr:row>10</xdr:row>
      <xdr:rowOff>195066</xdr:rowOff>
    </xdr:to>
    <xdr:cxnSp macro="">
      <xdr:nvCxnSpPr>
        <xdr:cNvPr id="19" name="직선 연결선 18">
          <a:extLst>
            <a:ext uri="{FF2B5EF4-FFF2-40B4-BE49-F238E27FC236}">
              <a16:creationId xmlns:a16="http://schemas.microsoft.com/office/drawing/2014/main" id="{00000000-0008-0000-3100-000013000000}"/>
            </a:ext>
          </a:extLst>
        </xdr:cNvPr>
        <xdr:cNvCxnSpPr>
          <a:stCxn id="18" idx="3"/>
        </xdr:cNvCxnSpPr>
      </xdr:nvCxnSpPr>
      <xdr:spPr>
        <a:xfrm flipV="1">
          <a:off x="11285054" y="1814348"/>
          <a:ext cx="404748" cy="476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0</xdr:colOff>
      <xdr:row>47</xdr:row>
      <xdr:rowOff>0</xdr:rowOff>
    </xdr:from>
    <xdr:ext cx="330283" cy="751424"/>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3100-000015000000}"/>
                </a:ext>
              </a:extLst>
            </xdr:cNvPr>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1" name="TextBox 20"/>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37</xdr:col>
      <xdr:colOff>273963</xdr:colOff>
      <xdr:row>10</xdr:row>
      <xdr:rowOff>50014</xdr:rowOff>
    </xdr:from>
    <xdr:to>
      <xdr:col>37</xdr:col>
      <xdr:colOff>493771</xdr:colOff>
      <xdr:row>11</xdr:row>
      <xdr:rowOff>57341</xdr:rowOff>
    </xdr:to>
    <xdr:sp macro="" textlink="">
      <xdr:nvSpPr>
        <xdr:cNvPr id="22" name="타원 21">
          <a:extLst>
            <a:ext uri="{FF2B5EF4-FFF2-40B4-BE49-F238E27FC236}">
              <a16:creationId xmlns:a16="http://schemas.microsoft.com/office/drawing/2014/main" id="{00000000-0008-0000-3100-000016000000}"/>
            </a:ext>
          </a:extLst>
        </xdr:cNvPr>
        <xdr:cNvSpPr/>
      </xdr:nvSpPr>
      <xdr:spPr>
        <a:xfrm rot="12202146">
          <a:off x="19343013" y="2145514"/>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285749</xdr:colOff>
      <xdr:row>12</xdr:row>
      <xdr:rowOff>139211</xdr:rowOff>
    </xdr:from>
    <xdr:to>
      <xdr:col>37</xdr:col>
      <xdr:colOff>505557</xdr:colOff>
      <xdr:row>13</xdr:row>
      <xdr:rowOff>146539</xdr:rowOff>
    </xdr:to>
    <xdr:sp macro="" textlink="">
      <xdr:nvSpPr>
        <xdr:cNvPr id="23" name="타원 22">
          <a:extLst>
            <a:ext uri="{FF2B5EF4-FFF2-40B4-BE49-F238E27FC236}">
              <a16:creationId xmlns:a16="http://schemas.microsoft.com/office/drawing/2014/main" id="{00000000-0008-0000-3100-000017000000}"/>
            </a:ext>
          </a:extLst>
        </xdr:cNvPr>
        <xdr:cNvSpPr/>
      </xdr:nvSpPr>
      <xdr:spPr>
        <a:xfrm rot="12202146">
          <a:off x="1935479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329710</xdr:colOff>
      <xdr:row>22</xdr:row>
      <xdr:rowOff>205152</xdr:rowOff>
    </xdr:from>
    <xdr:to>
      <xdr:col>37</xdr:col>
      <xdr:colOff>549518</xdr:colOff>
      <xdr:row>23</xdr:row>
      <xdr:rowOff>212479</xdr:rowOff>
    </xdr:to>
    <xdr:sp macro="" textlink="">
      <xdr:nvSpPr>
        <xdr:cNvPr id="24" name="타원 23">
          <a:extLst>
            <a:ext uri="{FF2B5EF4-FFF2-40B4-BE49-F238E27FC236}">
              <a16:creationId xmlns:a16="http://schemas.microsoft.com/office/drawing/2014/main" id="{00000000-0008-0000-3100-000018000000}"/>
            </a:ext>
          </a:extLst>
        </xdr:cNvPr>
        <xdr:cNvSpPr/>
      </xdr:nvSpPr>
      <xdr:spPr>
        <a:xfrm rot="12202146">
          <a:off x="1939876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278421</xdr:colOff>
      <xdr:row>14</xdr:row>
      <xdr:rowOff>87922</xdr:rowOff>
    </xdr:from>
    <xdr:to>
      <xdr:col>37</xdr:col>
      <xdr:colOff>498229</xdr:colOff>
      <xdr:row>15</xdr:row>
      <xdr:rowOff>95249</xdr:rowOff>
    </xdr:to>
    <xdr:sp macro="" textlink="">
      <xdr:nvSpPr>
        <xdr:cNvPr id="25" name="타원 24">
          <a:extLst>
            <a:ext uri="{FF2B5EF4-FFF2-40B4-BE49-F238E27FC236}">
              <a16:creationId xmlns:a16="http://schemas.microsoft.com/office/drawing/2014/main" id="{00000000-0008-0000-3100-000019000000}"/>
            </a:ext>
          </a:extLst>
        </xdr:cNvPr>
        <xdr:cNvSpPr/>
      </xdr:nvSpPr>
      <xdr:spPr>
        <a:xfrm rot="12202146">
          <a:off x="1934747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37</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3100-00001A000000}"/>
                </a:ext>
              </a:extLst>
            </xdr:cNvPr>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6" name="TextBox 25"/>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2</xdr:col>
      <xdr:colOff>115956</xdr:colOff>
      <xdr:row>7</xdr:row>
      <xdr:rowOff>107674</xdr:rowOff>
    </xdr:from>
    <xdr:to>
      <xdr:col>9</xdr:col>
      <xdr:colOff>66260</xdr:colOff>
      <xdr:row>27</xdr:row>
      <xdr:rowOff>23320</xdr:rowOff>
    </xdr:to>
    <xdr:pic>
      <xdr:nvPicPr>
        <xdr:cNvPr id="27" name="그림 26">
          <a:extLst>
            <a:ext uri="{FF2B5EF4-FFF2-40B4-BE49-F238E27FC236}">
              <a16:creationId xmlns:a16="http://schemas.microsoft.com/office/drawing/2014/main" id="{00000000-0008-0000-3100-00001B000000}"/>
            </a:ext>
          </a:extLst>
        </xdr:cNvPr>
        <xdr:cNvPicPr>
          <a:picLocks noChangeAspect="1"/>
        </xdr:cNvPicPr>
      </xdr:nvPicPr>
      <xdr:blipFill>
        <a:blip xmlns:r="http://schemas.openxmlformats.org/officeDocument/2006/relationships" r:embed="rId1"/>
        <a:stretch>
          <a:fillRect/>
        </a:stretch>
      </xdr:blipFill>
      <xdr:spPr>
        <a:xfrm>
          <a:off x="1490869" y="1557131"/>
          <a:ext cx="4762500" cy="4056950"/>
        </a:xfrm>
        <a:prstGeom prst="rect">
          <a:avLst/>
        </a:prstGeom>
      </xdr:spPr>
    </xdr:pic>
    <xdr:clientData/>
  </xdr:twoCellAnchor>
  <xdr:twoCellAnchor editAs="oneCell">
    <xdr:from>
      <xdr:col>28</xdr:col>
      <xdr:colOff>28575</xdr:colOff>
      <xdr:row>34</xdr:row>
      <xdr:rowOff>152401</xdr:rowOff>
    </xdr:from>
    <xdr:to>
      <xdr:col>40</xdr:col>
      <xdr:colOff>38100</xdr:colOff>
      <xdr:row>50</xdr:row>
      <xdr:rowOff>93515</xdr:rowOff>
    </xdr:to>
    <xdr:pic>
      <xdr:nvPicPr>
        <xdr:cNvPr id="29" name="그림 28">
          <a:extLst>
            <a:ext uri="{FF2B5EF4-FFF2-40B4-BE49-F238E27FC236}">
              <a16:creationId xmlns:a16="http://schemas.microsoft.com/office/drawing/2014/main" id="{00000000-0008-0000-3100-00001D000000}"/>
            </a:ext>
          </a:extLst>
        </xdr:cNvPr>
        <xdr:cNvPicPr>
          <a:picLocks noChangeAspect="1"/>
        </xdr:cNvPicPr>
      </xdr:nvPicPr>
      <xdr:blipFill>
        <a:blip xmlns:r="http://schemas.openxmlformats.org/officeDocument/2006/relationships" r:embed="rId2"/>
        <a:stretch>
          <a:fillRect/>
        </a:stretch>
      </xdr:blipFill>
      <xdr:spPr>
        <a:xfrm>
          <a:off x="15287625" y="7277101"/>
          <a:ext cx="6819900" cy="3293914"/>
        </a:xfrm>
        <a:prstGeom prst="rect">
          <a:avLst/>
        </a:prstGeom>
      </xdr:spPr>
    </xdr:pic>
    <xdr:clientData/>
  </xdr:twoCellAnchor>
  <xdr:twoCellAnchor editAs="oneCell">
    <xdr:from>
      <xdr:col>16</xdr:col>
      <xdr:colOff>349895</xdr:colOff>
      <xdr:row>14</xdr:row>
      <xdr:rowOff>156881</xdr:rowOff>
    </xdr:from>
    <xdr:to>
      <xdr:col>20</xdr:col>
      <xdr:colOff>319663</xdr:colOff>
      <xdr:row>18</xdr:row>
      <xdr:rowOff>74669</xdr:rowOff>
    </xdr:to>
    <xdr:pic>
      <xdr:nvPicPr>
        <xdr:cNvPr id="2" name="그림 1">
          <a:extLst>
            <a:ext uri="{FF2B5EF4-FFF2-40B4-BE49-F238E27FC236}">
              <a16:creationId xmlns:a16="http://schemas.microsoft.com/office/drawing/2014/main" id="{00000000-0008-0000-3100-000002000000}"/>
            </a:ext>
          </a:extLst>
        </xdr:cNvPr>
        <xdr:cNvPicPr>
          <a:picLocks noChangeAspect="1"/>
        </xdr:cNvPicPr>
      </xdr:nvPicPr>
      <xdr:blipFill>
        <a:blip xmlns:r="http://schemas.openxmlformats.org/officeDocument/2006/relationships" r:embed="rId3"/>
        <a:stretch>
          <a:fillRect/>
        </a:stretch>
      </xdr:blipFill>
      <xdr:spPr>
        <a:xfrm>
          <a:off x="11354071" y="3137646"/>
          <a:ext cx="1527386" cy="769435"/>
        </a:xfrm>
        <a:prstGeom prst="rect">
          <a:avLst/>
        </a:prstGeom>
      </xdr:spPr>
    </xdr:pic>
    <xdr:clientData/>
  </xdr:twoCellAnchor>
  <xdr:twoCellAnchor editAs="oneCell">
    <xdr:from>
      <xdr:col>24</xdr:col>
      <xdr:colOff>97880</xdr:colOff>
      <xdr:row>14</xdr:row>
      <xdr:rowOff>11205</xdr:rowOff>
    </xdr:from>
    <xdr:to>
      <xdr:col>28</xdr:col>
      <xdr:colOff>22412</xdr:colOff>
      <xdr:row>18</xdr:row>
      <xdr:rowOff>203001</xdr:rowOff>
    </xdr:to>
    <xdr:pic>
      <xdr:nvPicPr>
        <xdr:cNvPr id="20" name="그림 19">
          <a:extLst>
            <a:ext uri="{FF2B5EF4-FFF2-40B4-BE49-F238E27FC236}">
              <a16:creationId xmlns:a16="http://schemas.microsoft.com/office/drawing/2014/main" id="{00000000-0008-0000-3100-000014000000}"/>
            </a:ext>
          </a:extLst>
        </xdr:cNvPr>
        <xdr:cNvPicPr>
          <a:picLocks noChangeAspect="1"/>
        </xdr:cNvPicPr>
      </xdr:nvPicPr>
      <xdr:blipFill>
        <a:blip xmlns:r="http://schemas.openxmlformats.org/officeDocument/2006/relationships" r:embed="rId4"/>
        <a:stretch>
          <a:fillRect/>
        </a:stretch>
      </xdr:blipFill>
      <xdr:spPr>
        <a:xfrm>
          <a:off x="14217292" y="2991970"/>
          <a:ext cx="1045120" cy="1043443"/>
        </a:xfrm>
        <a:prstGeom prst="rect">
          <a:avLst/>
        </a:prstGeom>
      </xdr:spPr>
    </xdr:pic>
    <xdr:clientData/>
  </xdr:twoCellAnchor>
  <xdr:twoCellAnchor editAs="oneCell">
    <xdr:from>
      <xdr:col>14</xdr:col>
      <xdr:colOff>156882</xdr:colOff>
      <xdr:row>5</xdr:row>
      <xdr:rowOff>56030</xdr:rowOff>
    </xdr:from>
    <xdr:to>
      <xdr:col>21</xdr:col>
      <xdr:colOff>11205</xdr:colOff>
      <xdr:row>7</xdr:row>
      <xdr:rowOff>49926</xdr:rowOff>
    </xdr:to>
    <xdr:pic>
      <xdr:nvPicPr>
        <xdr:cNvPr id="28" name="그림 27">
          <a:extLst>
            <a:ext uri="{FF2B5EF4-FFF2-40B4-BE49-F238E27FC236}">
              <a16:creationId xmlns:a16="http://schemas.microsoft.com/office/drawing/2014/main" id="{00000000-0008-0000-3100-00001C000000}"/>
            </a:ext>
          </a:extLst>
        </xdr:cNvPr>
        <xdr:cNvPicPr>
          <a:picLocks noChangeAspect="1"/>
        </xdr:cNvPicPr>
      </xdr:nvPicPr>
      <xdr:blipFill>
        <a:blip xmlns:r="http://schemas.openxmlformats.org/officeDocument/2006/relationships" r:embed="rId5"/>
        <a:stretch>
          <a:fillRect/>
        </a:stretch>
      </xdr:blipFill>
      <xdr:spPr>
        <a:xfrm>
          <a:off x="9726706" y="1120589"/>
          <a:ext cx="3249705" cy="419719"/>
        </a:xfrm>
        <a:prstGeom prst="rect">
          <a:avLst/>
        </a:prstGeom>
      </xdr:spPr>
    </xdr:pic>
    <xdr:clientData/>
  </xdr:twoCellAnchor>
  <xdr:twoCellAnchor editAs="oneCell">
    <xdr:from>
      <xdr:col>7</xdr:col>
      <xdr:colOff>672353</xdr:colOff>
      <xdr:row>0</xdr:row>
      <xdr:rowOff>100853</xdr:rowOff>
    </xdr:from>
    <xdr:to>
      <xdr:col>13</xdr:col>
      <xdr:colOff>235323</xdr:colOff>
      <xdr:row>2</xdr:row>
      <xdr:rowOff>185133</xdr:rowOff>
    </xdr:to>
    <xdr:pic>
      <xdr:nvPicPr>
        <xdr:cNvPr id="30" name="그림 29">
          <a:extLst>
            <a:ext uri="{FF2B5EF4-FFF2-40B4-BE49-F238E27FC236}">
              <a16:creationId xmlns:a16="http://schemas.microsoft.com/office/drawing/2014/main" id="{00000000-0008-0000-3100-00001E000000}"/>
            </a:ext>
          </a:extLst>
        </xdr:cNvPr>
        <xdr:cNvPicPr>
          <a:picLocks noChangeAspect="1"/>
        </xdr:cNvPicPr>
      </xdr:nvPicPr>
      <xdr:blipFill>
        <a:blip xmlns:r="http://schemas.openxmlformats.org/officeDocument/2006/relationships" r:embed="rId6"/>
        <a:stretch>
          <a:fillRect/>
        </a:stretch>
      </xdr:blipFill>
      <xdr:spPr>
        <a:xfrm>
          <a:off x="5457265" y="100853"/>
          <a:ext cx="3664323" cy="510104"/>
        </a:xfrm>
        <a:prstGeom prst="rect">
          <a:avLst/>
        </a:prstGeom>
      </xdr:spPr>
    </xdr:pic>
    <xdr:clientData/>
  </xdr:twoCellAnchor>
  <xdr:twoCellAnchor>
    <xdr:from>
      <xdr:col>13</xdr:col>
      <xdr:colOff>200506</xdr:colOff>
      <xdr:row>3</xdr:row>
      <xdr:rowOff>75713</xdr:rowOff>
    </xdr:from>
    <xdr:to>
      <xdr:col>14</xdr:col>
      <xdr:colOff>288173</xdr:colOff>
      <xdr:row>4</xdr:row>
      <xdr:rowOff>68385</xdr:rowOff>
    </xdr:to>
    <xdr:sp macro="" textlink="">
      <xdr:nvSpPr>
        <xdr:cNvPr id="31" name="오른쪽 화살표 30">
          <a:extLst>
            <a:ext uri="{FF2B5EF4-FFF2-40B4-BE49-F238E27FC236}">
              <a16:creationId xmlns:a16="http://schemas.microsoft.com/office/drawing/2014/main" id="{00000000-0008-0000-3100-00001F000000}"/>
            </a:ext>
          </a:extLst>
        </xdr:cNvPr>
        <xdr:cNvSpPr/>
      </xdr:nvSpPr>
      <xdr:spPr>
        <a:xfrm rot="2150085">
          <a:off x="9154006" y="713155"/>
          <a:ext cx="776398" cy="20515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5</xdr:col>
      <xdr:colOff>38099</xdr:colOff>
      <xdr:row>28</xdr:row>
      <xdr:rowOff>90509</xdr:rowOff>
    </xdr:from>
    <xdr:to>
      <xdr:col>11</xdr:col>
      <xdr:colOff>466724</xdr:colOff>
      <xdr:row>40</xdr:row>
      <xdr:rowOff>181504</xdr:rowOff>
    </xdr:to>
    <xdr:pic>
      <xdr:nvPicPr>
        <xdr:cNvPr id="32" name="그림 31">
          <a:extLst>
            <a:ext uri="{FF2B5EF4-FFF2-40B4-BE49-F238E27FC236}">
              <a16:creationId xmlns:a16="http://schemas.microsoft.com/office/drawing/2014/main" id="{00000000-0008-0000-3100-000020000000}"/>
            </a:ext>
          </a:extLst>
        </xdr:cNvPr>
        <xdr:cNvPicPr>
          <a:picLocks noChangeAspect="1"/>
        </xdr:cNvPicPr>
      </xdr:nvPicPr>
      <xdr:blipFill>
        <a:blip xmlns:r="http://schemas.openxmlformats.org/officeDocument/2006/relationships" r:embed="rId7"/>
        <a:stretch>
          <a:fillRect/>
        </a:stretch>
      </xdr:blipFill>
      <xdr:spPr>
        <a:xfrm>
          <a:off x="3467099" y="5957909"/>
          <a:ext cx="4543425" cy="2605595"/>
        </a:xfrm>
        <a:prstGeom prst="rect">
          <a:avLst/>
        </a:prstGeom>
      </xdr:spPr>
    </xdr:pic>
    <xdr:clientData/>
  </xdr:twoCellAnchor>
  <xdr:twoCellAnchor>
    <xdr:from>
      <xdr:col>6</xdr:col>
      <xdr:colOff>628650</xdr:colOff>
      <xdr:row>33</xdr:row>
      <xdr:rowOff>95250</xdr:rowOff>
    </xdr:from>
    <xdr:to>
      <xdr:col>35</xdr:col>
      <xdr:colOff>123825</xdr:colOff>
      <xdr:row>39</xdr:row>
      <xdr:rowOff>85725</xdr:rowOff>
    </xdr:to>
    <xdr:cxnSp macro="">
      <xdr:nvCxnSpPr>
        <xdr:cNvPr id="34" name="직선 화살표 연결선 33">
          <a:extLst>
            <a:ext uri="{FF2B5EF4-FFF2-40B4-BE49-F238E27FC236}">
              <a16:creationId xmlns:a16="http://schemas.microsoft.com/office/drawing/2014/main" id="{00000000-0008-0000-3100-000022000000}"/>
            </a:ext>
          </a:extLst>
        </xdr:cNvPr>
        <xdr:cNvCxnSpPr/>
      </xdr:nvCxnSpPr>
      <xdr:spPr>
        <a:xfrm flipV="1">
          <a:off x="4743450" y="7010400"/>
          <a:ext cx="14020800" cy="1247775"/>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42.xml><?xml version="1.0" encoding="utf-8"?>
<xdr:wsDr xmlns:xdr="http://schemas.openxmlformats.org/drawingml/2006/spreadsheetDrawing" xmlns:a="http://schemas.openxmlformats.org/drawingml/2006/main">
  <xdr:twoCellAnchor>
    <xdr:from>
      <xdr:col>4</xdr:col>
      <xdr:colOff>248478</xdr:colOff>
      <xdr:row>4</xdr:row>
      <xdr:rowOff>190500</xdr:rowOff>
    </xdr:from>
    <xdr:to>
      <xdr:col>4</xdr:col>
      <xdr:colOff>397565</xdr:colOff>
      <xdr:row>5</xdr:row>
      <xdr:rowOff>149087</xdr:rowOff>
    </xdr:to>
    <xdr:sp macro="" textlink="">
      <xdr:nvSpPr>
        <xdr:cNvPr id="2" name="타원 1">
          <a:extLst>
            <a:ext uri="{FF2B5EF4-FFF2-40B4-BE49-F238E27FC236}">
              <a16:creationId xmlns:a16="http://schemas.microsoft.com/office/drawing/2014/main" id="{00000000-0008-0000-3200-000002000000}"/>
            </a:ext>
          </a:extLst>
        </xdr:cNvPr>
        <xdr:cNvSpPr/>
      </xdr:nvSpPr>
      <xdr:spPr>
        <a:xfrm>
          <a:off x="2998304" y="1018761"/>
          <a:ext cx="149087" cy="16565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248478</xdr:colOff>
      <xdr:row>6</xdr:row>
      <xdr:rowOff>74544</xdr:rowOff>
    </xdr:from>
    <xdr:to>
      <xdr:col>4</xdr:col>
      <xdr:colOff>397565</xdr:colOff>
      <xdr:row>7</xdr:row>
      <xdr:rowOff>33130</xdr:rowOff>
    </xdr:to>
    <xdr:sp macro="" textlink="">
      <xdr:nvSpPr>
        <xdr:cNvPr id="3" name="타원 2">
          <a:extLst>
            <a:ext uri="{FF2B5EF4-FFF2-40B4-BE49-F238E27FC236}">
              <a16:creationId xmlns:a16="http://schemas.microsoft.com/office/drawing/2014/main" id="{00000000-0008-0000-3200-000003000000}"/>
            </a:ext>
          </a:extLst>
        </xdr:cNvPr>
        <xdr:cNvSpPr/>
      </xdr:nvSpPr>
      <xdr:spPr>
        <a:xfrm>
          <a:off x="2998304" y="1316935"/>
          <a:ext cx="149087" cy="16565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256760</xdr:colOff>
      <xdr:row>16</xdr:row>
      <xdr:rowOff>57979</xdr:rowOff>
    </xdr:from>
    <xdr:to>
      <xdr:col>4</xdr:col>
      <xdr:colOff>405847</xdr:colOff>
      <xdr:row>17</xdr:row>
      <xdr:rowOff>16565</xdr:rowOff>
    </xdr:to>
    <xdr:sp macro="" textlink="">
      <xdr:nvSpPr>
        <xdr:cNvPr id="4" name="타원 3">
          <a:extLst>
            <a:ext uri="{FF2B5EF4-FFF2-40B4-BE49-F238E27FC236}">
              <a16:creationId xmlns:a16="http://schemas.microsoft.com/office/drawing/2014/main" id="{00000000-0008-0000-3200-000004000000}"/>
            </a:ext>
          </a:extLst>
        </xdr:cNvPr>
        <xdr:cNvSpPr/>
      </xdr:nvSpPr>
      <xdr:spPr>
        <a:xfrm>
          <a:off x="3006586" y="3371022"/>
          <a:ext cx="149087" cy="16565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xdr:col>
      <xdr:colOff>182218</xdr:colOff>
      <xdr:row>10</xdr:row>
      <xdr:rowOff>173935</xdr:rowOff>
    </xdr:from>
    <xdr:ext cx="330283" cy="751424"/>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3200-000005000000}"/>
                </a:ext>
              </a:extLst>
            </xdr:cNvPr>
            <xdr:cNvSpPr txBox="1"/>
          </xdr:nvSpPr>
          <xdr:spPr>
            <a:xfrm>
              <a:off x="2932044" y="224458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5" name="TextBox 4"/>
            <xdr:cNvSpPr txBox="1"/>
          </xdr:nvSpPr>
          <xdr:spPr>
            <a:xfrm>
              <a:off x="2932044" y="224458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16</xdr:col>
      <xdr:colOff>248478</xdr:colOff>
      <xdr:row>3</xdr:row>
      <xdr:rowOff>190500</xdr:rowOff>
    </xdr:from>
    <xdr:to>
      <xdr:col>16</xdr:col>
      <xdr:colOff>397565</xdr:colOff>
      <xdr:row>4</xdr:row>
      <xdr:rowOff>149087</xdr:rowOff>
    </xdr:to>
    <xdr:sp macro="" textlink="">
      <xdr:nvSpPr>
        <xdr:cNvPr id="6" name="타원 5">
          <a:extLst>
            <a:ext uri="{FF2B5EF4-FFF2-40B4-BE49-F238E27FC236}">
              <a16:creationId xmlns:a16="http://schemas.microsoft.com/office/drawing/2014/main" id="{00000000-0008-0000-3200-000006000000}"/>
            </a:ext>
          </a:extLst>
        </xdr:cNvPr>
        <xdr:cNvSpPr/>
      </xdr:nvSpPr>
      <xdr:spPr>
        <a:xfrm>
          <a:off x="2991678" y="1028700"/>
          <a:ext cx="149087" cy="16813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248478</xdr:colOff>
      <xdr:row>5</xdr:row>
      <xdr:rowOff>74544</xdr:rowOff>
    </xdr:from>
    <xdr:to>
      <xdr:col>16</xdr:col>
      <xdr:colOff>397565</xdr:colOff>
      <xdr:row>6</xdr:row>
      <xdr:rowOff>33130</xdr:rowOff>
    </xdr:to>
    <xdr:sp macro="" textlink="">
      <xdr:nvSpPr>
        <xdr:cNvPr id="7" name="타원 6">
          <a:extLst>
            <a:ext uri="{FF2B5EF4-FFF2-40B4-BE49-F238E27FC236}">
              <a16:creationId xmlns:a16="http://schemas.microsoft.com/office/drawing/2014/main" id="{00000000-0008-0000-3200-000007000000}"/>
            </a:ext>
          </a:extLst>
        </xdr:cNvPr>
        <xdr:cNvSpPr/>
      </xdr:nvSpPr>
      <xdr:spPr>
        <a:xfrm>
          <a:off x="2991678" y="1331844"/>
          <a:ext cx="149087" cy="168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256760</xdr:colOff>
      <xdr:row>15</xdr:row>
      <xdr:rowOff>57979</xdr:rowOff>
    </xdr:from>
    <xdr:to>
      <xdr:col>16</xdr:col>
      <xdr:colOff>405847</xdr:colOff>
      <xdr:row>16</xdr:row>
      <xdr:rowOff>16565</xdr:rowOff>
    </xdr:to>
    <xdr:sp macro="" textlink="">
      <xdr:nvSpPr>
        <xdr:cNvPr id="8" name="타원 7">
          <a:extLst>
            <a:ext uri="{FF2B5EF4-FFF2-40B4-BE49-F238E27FC236}">
              <a16:creationId xmlns:a16="http://schemas.microsoft.com/office/drawing/2014/main" id="{00000000-0008-0000-3200-000008000000}"/>
            </a:ext>
          </a:extLst>
        </xdr:cNvPr>
        <xdr:cNvSpPr/>
      </xdr:nvSpPr>
      <xdr:spPr>
        <a:xfrm>
          <a:off x="2999960" y="3410779"/>
          <a:ext cx="149087" cy="168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182218</xdr:colOff>
      <xdr:row>9</xdr:row>
      <xdr:rowOff>173935</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3200-000009000000}"/>
                </a:ext>
              </a:extLst>
            </xdr:cNvPr>
            <xdr:cNvSpPr txBox="1"/>
          </xdr:nvSpPr>
          <xdr:spPr>
            <a:xfrm>
              <a:off x="2925418" y="22694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2925418" y="22694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24</xdr:col>
      <xdr:colOff>248478</xdr:colOff>
      <xdr:row>3</xdr:row>
      <xdr:rowOff>190500</xdr:rowOff>
    </xdr:from>
    <xdr:to>
      <xdr:col>24</xdr:col>
      <xdr:colOff>397565</xdr:colOff>
      <xdr:row>4</xdr:row>
      <xdr:rowOff>149087</xdr:rowOff>
    </xdr:to>
    <xdr:sp macro="" textlink="">
      <xdr:nvSpPr>
        <xdr:cNvPr id="10" name="타원 9">
          <a:extLst>
            <a:ext uri="{FF2B5EF4-FFF2-40B4-BE49-F238E27FC236}">
              <a16:creationId xmlns:a16="http://schemas.microsoft.com/office/drawing/2014/main" id="{00000000-0008-0000-3200-00000A000000}"/>
            </a:ext>
          </a:extLst>
        </xdr:cNvPr>
        <xdr:cNvSpPr/>
      </xdr:nvSpPr>
      <xdr:spPr>
        <a:xfrm>
          <a:off x="10042419" y="829235"/>
          <a:ext cx="149087" cy="17149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248478</xdr:colOff>
      <xdr:row>5</xdr:row>
      <xdr:rowOff>74544</xdr:rowOff>
    </xdr:from>
    <xdr:to>
      <xdr:col>24</xdr:col>
      <xdr:colOff>397565</xdr:colOff>
      <xdr:row>6</xdr:row>
      <xdr:rowOff>33130</xdr:rowOff>
    </xdr:to>
    <xdr:sp macro="" textlink="">
      <xdr:nvSpPr>
        <xdr:cNvPr id="11" name="타원 10">
          <a:extLst>
            <a:ext uri="{FF2B5EF4-FFF2-40B4-BE49-F238E27FC236}">
              <a16:creationId xmlns:a16="http://schemas.microsoft.com/office/drawing/2014/main" id="{00000000-0008-0000-3200-00000B000000}"/>
            </a:ext>
          </a:extLst>
        </xdr:cNvPr>
        <xdr:cNvSpPr/>
      </xdr:nvSpPr>
      <xdr:spPr>
        <a:xfrm>
          <a:off x="10042419" y="1139103"/>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256760</xdr:colOff>
      <xdr:row>15</xdr:row>
      <xdr:rowOff>57979</xdr:rowOff>
    </xdr:from>
    <xdr:to>
      <xdr:col>24</xdr:col>
      <xdr:colOff>405847</xdr:colOff>
      <xdr:row>16</xdr:row>
      <xdr:rowOff>16565</xdr:rowOff>
    </xdr:to>
    <xdr:sp macro="" textlink="">
      <xdr:nvSpPr>
        <xdr:cNvPr id="12" name="타원 11">
          <a:extLst>
            <a:ext uri="{FF2B5EF4-FFF2-40B4-BE49-F238E27FC236}">
              <a16:creationId xmlns:a16="http://schemas.microsoft.com/office/drawing/2014/main" id="{00000000-0008-0000-3200-00000C000000}"/>
            </a:ext>
          </a:extLst>
        </xdr:cNvPr>
        <xdr:cNvSpPr/>
      </xdr:nvSpPr>
      <xdr:spPr>
        <a:xfrm>
          <a:off x="10050701" y="3251655"/>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24</xdr:col>
      <xdr:colOff>182218</xdr:colOff>
      <xdr:row>9</xdr:row>
      <xdr:rowOff>173935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3200-00000D000000}"/>
                </a:ext>
              </a:extLst>
            </xdr:cNvPr>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28</xdr:col>
      <xdr:colOff>248478</xdr:colOff>
      <xdr:row>3</xdr:row>
      <xdr:rowOff>190500</xdr:rowOff>
    </xdr:from>
    <xdr:to>
      <xdr:col>28</xdr:col>
      <xdr:colOff>397565</xdr:colOff>
      <xdr:row>4</xdr:row>
      <xdr:rowOff>149087</xdr:rowOff>
    </xdr:to>
    <xdr:sp macro="" textlink="">
      <xdr:nvSpPr>
        <xdr:cNvPr id="14" name="타원 13">
          <a:extLst>
            <a:ext uri="{FF2B5EF4-FFF2-40B4-BE49-F238E27FC236}">
              <a16:creationId xmlns:a16="http://schemas.microsoft.com/office/drawing/2014/main" id="{00000000-0008-0000-3200-00000E000000}"/>
            </a:ext>
          </a:extLst>
        </xdr:cNvPr>
        <xdr:cNvSpPr/>
      </xdr:nvSpPr>
      <xdr:spPr>
        <a:xfrm>
          <a:off x="10042419" y="829235"/>
          <a:ext cx="149087" cy="17149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248478</xdr:colOff>
      <xdr:row>5</xdr:row>
      <xdr:rowOff>74544</xdr:rowOff>
    </xdr:from>
    <xdr:to>
      <xdr:col>28</xdr:col>
      <xdr:colOff>397565</xdr:colOff>
      <xdr:row>6</xdr:row>
      <xdr:rowOff>33130</xdr:rowOff>
    </xdr:to>
    <xdr:sp macro="" textlink="">
      <xdr:nvSpPr>
        <xdr:cNvPr id="15" name="타원 14">
          <a:extLst>
            <a:ext uri="{FF2B5EF4-FFF2-40B4-BE49-F238E27FC236}">
              <a16:creationId xmlns:a16="http://schemas.microsoft.com/office/drawing/2014/main" id="{00000000-0008-0000-3200-00000F000000}"/>
            </a:ext>
          </a:extLst>
        </xdr:cNvPr>
        <xdr:cNvSpPr/>
      </xdr:nvSpPr>
      <xdr:spPr>
        <a:xfrm>
          <a:off x="10042419" y="1139103"/>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256760</xdr:colOff>
      <xdr:row>15</xdr:row>
      <xdr:rowOff>57979</xdr:rowOff>
    </xdr:from>
    <xdr:to>
      <xdr:col>28</xdr:col>
      <xdr:colOff>405847</xdr:colOff>
      <xdr:row>16</xdr:row>
      <xdr:rowOff>16565</xdr:rowOff>
    </xdr:to>
    <xdr:sp macro="" textlink="">
      <xdr:nvSpPr>
        <xdr:cNvPr id="16" name="타원 15">
          <a:extLst>
            <a:ext uri="{FF2B5EF4-FFF2-40B4-BE49-F238E27FC236}">
              <a16:creationId xmlns:a16="http://schemas.microsoft.com/office/drawing/2014/main" id="{00000000-0008-0000-3200-000010000000}"/>
            </a:ext>
          </a:extLst>
        </xdr:cNvPr>
        <xdr:cNvSpPr/>
      </xdr:nvSpPr>
      <xdr:spPr>
        <a:xfrm>
          <a:off x="10050701" y="3251655"/>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28</xdr:col>
      <xdr:colOff>182218</xdr:colOff>
      <xdr:row>9</xdr:row>
      <xdr:rowOff>173935</xdr:rowOff>
    </xdr:from>
    <xdr:ext cx="330283" cy="751424"/>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0000000-0008-0000-3200-000011000000}"/>
                </a:ext>
              </a:extLst>
            </xdr:cNvPr>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7" name="TextBox 16"/>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10</xdr:col>
      <xdr:colOff>0</xdr:colOff>
      <xdr:row>23</xdr:row>
      <xdr:rowOff>0</xdr:rowOff>
    </xdr:from>
    <xdr:to>
      <xdr:col>24</xdr:col>
      <xdr:colOff>623349</xdr:colOff>
      <xdr:row>47</xdr:row>
      <xdr:rowOff>139126</xdr:rowOff>
    </xdr:to>
    <xdr:pic>
      <xdr:nvPicPr>
        <xdr:cNvPr id="18" name="그림 17">
          <a:extLst>
            <a:ext uri="{FF2B5EF4-FFF2-40B4-BE49-F238E27FC236}">
              <a16:creationId xmlns:a16="http://schemas.microsoft.com/office/drawing/2014/main" id="{00000000-0008-0000-3200-000012000000}"/>
            </a:ext>
          </a:extLst>
        </xdr:cNvPr>
        <xdr:cNvPicPr>
          <a:picLocks noChangeAspect="1"/>
        </xdr:cNvPicPr>
      </xdr:nvPicPr>
      <xdr:blipFill>
        <a:blip xmlns:r="http://schemas.openxmlformats.org/officeDocument/2006/relationships" r:embed="rId1"/>
        <a:stretch>
          <a:fillRect/>
        </a:stretch>
      </xdr:blipFill>
      <xdr:spPr>
        <a:xfrm>
          <a:off x="5692588" y="4896971"/>
          <a:ext cx="10193173" cy="5249008"/>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683172</xdr:colOff>
      <xdr:row>43</xdr:row>
      <xdr:rowOff>0</xdr:rowOff>
    </xdr:from>
    <xdr:to>
      <xdr:col>9</xdr:col>
      <xdr:colOff>58153</xdr:colOff>
      <xdr:row>50</xdr:row>
      <xdr:rowOff>71815</xdr:rowOff>
    </xdr:to>
    <xdr:pic>
      <xdr:nvPicPr>
        <xdr:cNvPr id="2" name="그림 1">
          <a:extLst>
            <a:ext uri="{FF2B5EF4-FFF2-40B4-BE49-F238E27FC236}">
              <a16:creationId xmlns:a16="http://schemas.microsoft.com/office/drawing/2014/main" id="{00000000-0008-0000-3300-000002000000}"/>
            </a:ext>
          </a:extLst>
        </xdr:cNvPr>
        <xdr:cNvPicPr>
          <a:picLocks noChangeAspect="1"/>
        </xdr:cNvPicPr>
      </xdr:nvPicPr>
      <xdr:blipFill>
        <a:blip xmlns:r="http://schemas.openxmlformats.org/officeDocument/2006/relationships" r:embed="rId1"/>
        <a:stretch>
          <a:fillRect/>
        </a:stretch>
      </xdr:blipFill>
      <xdr:spPr>
        <a:xfrm>
          <a:off x="683172" y="6043448"/>
          <a:ext cx="4277322" cy="1543265"/>
        </a:xfrm>
        <a:prstGeom prst="rect">
          <a:avLst/>
        </a:prstGeom>
      </xdr:spPr>
    </xdr:pic>
    <xdr:clientData/>
  </xdr:twoCellAnchor>
  <xdr:oneCellAnchor>
    <xdr:from>
      <xdr:col>20</xdr:col>
      <xdr:colOff>223345</xdr:colOff>
      <xdr:row>62</xdr:row>
      <xdr:rowOff>0</xdr:rowOff>
    </xdr:from>
    <xdr:ext cx="243052" cy="563552"/>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00000000-0008-0000-3300-000003000000}"/>
                </a:ext>
              </a:extLst>
            </xdr:cNvPr>
            <xdr:cNvSpPr txBox="1"/>
          </xdr:nvSpPr>
          <xdr:spPr>
            <a:xfrm>
              <a:off x="5406259" y="10037379"/>
              <a:ext cx="243052" cy="5635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600" i="1">
                        <a:latin typeface="Cambria Math" panose="02040503050406030204" pitchFamily="18" charset="0"/>
                      </a:rPr>
                      <m:t>↓</m:t>
                    </m:r>
                  </m:oMath>
                </m:oMathPara>
              </a14:m>
              <a:endParaRPr lang="ko-KR" altLang="en-US" sz="3600"/>
            </a:p>
          </xdr:txBody>
        </xdr:sp>
      </mc:Choice>
      <mc:Fallback xmlns="">
        <xdr:sp macro="" textlink="">
          <xdr:nvSpPr>
            <xdr:cNvPr id="3" name="TextBox 2"/>
            <xdr:cNvSpPr txBox="1"/>
          </xdr:nvSpPr>
          <xdr:spPr>
            <a:xfrm>
              <a:off x="5406259" y="10037379"/>
              <a:ext cx="243052" cy="5635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ko-KR" altLang="en-US" sz="3600" i="0">
                  <a:latin typeface="Cambria Math" panose="02040503050406030204" pitchFamily="18" charset="0"/>
                </a:rPr>
                <a:t>↓</a:t>
              </a:r>
              <a:endParaRPr lang="ko-KR" altLang="en-US" sz="3600"/>
            </a:p>
          </xdr:txBody>
        </xdr:sp>
      </mc:Fallback>
    </mc:AlternateContent>
    <xdr:clientData/>
  </xdr:oneCellAnchor>
  <xdr:twoCellAnchor editAs="oneCell">
    <xdr:from>
      <xdr:col>22</xdr:col>
      <xdr:colOff>0</xdr:colOff>
      <xdr:row>74</xdr:row>
      <xdr:rowOff>0</xdr:rowOff>
    </xdr:from>
    <xdr:to>
      <xdr:col>27</xdr:col>
      <xdr:colOff>28576</xdr:colOff>
      <xdr:row>88</xdr:row>
      <xdr:rowOff>123824</xdr:rowOff>
    </xdr:to>
    <xdr:pic>
      <xdr:nvPicPr>
        <xdr:cNvPr id="4" name="그림 3" descr="https://lh7-rt.googleusercontent.com/slidesz/AGV_vUfg38HWPTLSSuSgJMGhUuDEHAjTuWq-33pxPmNQQebDHMlROJw80067Q63A4gf5YjmaK6kw7a62AYYIMv-CMgpzegCfXbac-zJ4NLcfBlUUix3-nIyCx0SgrheX8IfpCklTCZ5G3-h4bCDsl1TrV6MaXyOqFDZ_=s2048?key=prHpsjRhkRhE7fIhhEtlaw">
          <a:extLst>
            <a:ext uri="{FF2B5EF4-FFF2-40B4-BE49-F238E27FC236}">
              <a16:creationId xmlns:a16="http://schemas.microsoft.com/office/drawing/2014/main" id="{00000000-0008-0000-33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543675" y="12515850"/>
          <a:ext cx="3457575" cy="3057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296939</xdr:colOff>
      <xdr:row>83</xdr:row>
      <xdr:rowOff>107675</xdr:rowOff>
    </xdr:from>
    <xdr:to>
      <xdr:col>15</xdr:col>
      <xdr:colOff>298175</xdr:colOff>
      <xdr:row>90</xdr:row>
      <xdr:rowOff>156784</xdr:rowOff>
    </xdr:to>
    <xdr:pic>
      <xdr:nvPicPr>
        <xdr:cNvPr id="5" name="그림 4">
          <a:extLst>
            <a:ext uri="{FF2B5EF4-FFF2-40B4-BE49-F238E27FC236}">
              <a16:creationId xmlns:a16="http://schemas.microsoft.com/office/drawing/2014/main" id="{00000000-0008-0000-3300-000005000000}"/>
            </a:ext>
          </a:extLst>
        </xdr:cNvPr>
        <xdr:cNvPicPr>
          <a:picLocks noChangeAspect="1"/>
        </xdr:cNvPicPr>
      </xdr:nvPicPr>
      <xdr:blipFill>
        <a:blip xmlns:r="http://schemas.openxmlformats.org/officeDocument/2006/relationships" r:embed="rId3"/>
        <a:stretch>
          <a:fillRect/>
        </a:stretch>
      </xdr:blipFill>
      <xdr:spPr>
        <a:xfrm>
          <a:off x="5688917" y="14552545"/>
          <a:ext cx="2527432" cy="1498564"/>
        </a:xfrm>
        <a:prstGeom prst="rect">
          <a:avLst/>
        </a:prstGeom>
      </xdr:spPr>
    </xdr:pic>
    <xdr:clientData/>
  </xdr:twoCellAnchor>
  <xdr:twoCellAnchor>
    <xdr:from>
      <xdr:col>4</xdr:col>
      <xdr:colOff>248478</xdr:colOff>
      <xdr:row>93</xdr:row>
      <xdr:rowOff>8283</xdr:rowOff>
    </xdr:from>
    <xdr:to>
      <xdr:col>4</xdr:col>
      <xdr:colOff>256761</xdr:colOff>
      <xdr:row>107</xdr:row>
      <xdr:rowOff>190500</xdr:rowOff>
    </xdr:to>
    <xdr:cxnSp macro="">
      <xdr:nvCxnSpPr>
        <xdr:cNvPr id="7" name="직선 연결선 6">
          <a:extLst>
            <a:ext uri="{FF2B5EF4-FFF2-40B4-BE49-F238E27FC236}">
              <a16:creationId xmlns:a16="http://schemas.microsoft.com/office/drawing/2014/main" id="{00000000-0008-0000-3300-000007000000}"/>
            </a:ext>
          </a:extLst>
        </xdr:cNvPr>
        <xdr:cNvCxnSpPr/>
      </xdr:nvCxnSpPr>
      <xdr:spPr>
        <a:xfrm>
          <a:off x="2343978" y="16515522"/>
          <a:ext cx="8283" cy="20458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0</xdr:row>
      <xdr:rowOff>256760</xdr:rowOff>
    </xdr:from>
    <xdr:to>
      <xdr:col>9</xdr:col>
      <xdr:colOff>424520</xdr:colOff>
      <xdr:row>11</xdr:row>
      <xdr:rowOff>132520</xdr:rowOff>
    </xdr:to>
    <xdr:pic>
      <xdr:nvPicPr>
        <xdr:cNvPr id="8" name="그림 7">
          <a:extLst>
            <a:ext uri="{FF2B5EF4-FFF2-40B4-BE49-F238E27FC236}">
              <a16:creationId xmlns:a16="http://schemas.microsoft.com/office/drawing/2014/main" id="{00000000-0008-0000-3300-000008000000}"/>
            </a:ext>
          </a:extLst>
        </xdr:cNvPr>
        <xdr:cNvPicPr>
          <a:picLocks noChangeAspect="1"/>
        </xdr:cNvPicPr>
      </xdr:nvPicPr>
      <xdr:blipFill>
        <a:blip xmlns:r="http://schemas.openxmlformats.org/officeDocument/2006/relationships" r:embed="rId3"/>
        <a:stretch>
          <a:fillRect/>
        </a:stretch>
      </xdr:blipFill>
      <xdr:spPr>
        <a:xfrm>
          <a:off x="687457" y="256760"/>
          <a:ext cx="4623802" cy="2741543"/>
        </a:xfrm>
        <a:prstGeom prst="rect">
          <a:avLst/>
        </a:prstGeom>
      </xdr:spPr>
    </xdr:pic>
    <xdr:clientData/>
  </xdr:twoCellAnchor>
  <xdr:twoCellAnchor editAs="oneCell">
    <xdr:from>
      <xdr:col>11</xdr:col>
      <xdr:colOff>0</xdr:colOff>
      <xdr:row>3</xdr:row>
      <xdr:rowOff>256760</xdr:rowOff>
    </xdr:from>
    <xdr:to>
      <xdr:col>25</xdr:col>
      <xdr:colOff>258221</xdr:colOff>
      <xdr:row>11</xdr:row>
      <xdr:rowOff>9368</xdr:rowOff>
    </xdr:to>
    <xdr:pic>
      <xdr:nvPicPr>
        <xdr:cNvPr id="9" name="그림 8">
          <a:extLst>
            <a:ext uri="{FF2B5EF4-FFF2-40B4-BE49-F238E27FC236}">
              <a16:creationId xmlns:a16="http://schemas.microsoft.com/office/drawing/2014/main" id="{00000000-0008-0000-3300-000009000000}"/>
            </a:ext>
          </a:extLst>
        </xdr:cNvPr>
        <xdr:cNvPicPr>
          <a:picLocks noChangeAspect="1"/>
        </xdr:cNvPicPr>
      </xdr:nvPicPr>
      <xdr:blipFill>
        <a:blip xmlns:r="http://schemas.openxmlformats.org/officeDocument/2006/relationships" r:embed="rId4"/>
        <a:stretch>
          <a:fillRect/>
        </a:stretch>
      </xdr:blipFill>
      <xdr:spPr>
        <a:xfrm>
          <a:off x="5897217" y="1027043"/>
          <a:ext cx="7497221" cy="1848108"/>
        </a:xfrm>
        <a:prstGeom prst="rect">
          <a:avLst/>
        </a:prstGeom>
      </xdr:spPr>
    </xdr:pic>
    <xdr:clientData/>
  </xdr:twoCellAnchor>
  <xdr:twoCellAnchor editAs="oneCell">
    <xdr:from>
      <xdr:col>15</xdr:col>
      <xdr:colOff>248477</xdr:colOff>
      <xdr:row>40</xdr:row>
      <xdr:rowOff>106312</xdr:rowOff>
    </xdr:from>
    <xdr:to>
      <xdr:col>26</xdr:col>
      <xdr:colOff>278516</xdr:colOff>
      <xdr:row>50</xdr:row>
      <xdr:rowOff>101828</xdr:rowOff>
    </xdr:to>
    <xdr:pic>
      <xdr:nvPicPr>
        <xdr:cNvPr id="10" name="그림 9">
          <a:extLst>
            <a:ext uri="{FF2B5EF4-FFF2-40B4-BE49-F238E27FC236}">
              <a16:creationId xmlns:a16="http://schemas.microsoft.com/office/drawing/2014/main" id="{00000000-0008-0000-3300-00000A000000}"/>
            </a:ext>
          </a:extLst>
        </xdr:cNvPr>
        <xdr:cNvPicPr>
          <a:picLocks noChangeAspect="1"/>
        </xdr:cNvPicPr>
      </xdr:nvPicPr>
      <xdr:blipFill>
        <a:blip xmlns:r="http://schemas.openxmlformats.org/officeDocument/2006/relationships" r:embed="rId5"/>
        <a:stretch>
          <a:fillRect/>
        </a:stretch>
      </xdr:blipFill>
      <xdr:spPr>
        <a:xfrm>
          <a:off x="8166651" y="8711942"/>
          <a:ext cx="5935539" cy="2066169"/>
        </a:xfrm>
        <a:prstGeom prst="rect">
          <a:avLst/>
        </a:prstGeom>
      </xdr:spPr>
    </xdr:pic>
    <xdr:clientData/>
  </xdr:twoCellAnchor>
  <xdr:twoCellAnchor editAs="oneCell">
    <xdr:from>
      <xdr:col>27</xdr:col>
      <xdr:colOff>278295</xdr:colOff>
      <xdr:row>74</xdr:row>
      <xdr:rowOff>93179</xdr:rowOff>
    </xdr:from>
    <xdr:to>
      <xdr:col>38</xdr:col>
      <xdr:colOff>250769</xdr:colOff>
      <xdr:row>97</xdr:row>
      <xdr:rowOff>151010</xdr:rowOff>
    </xdr:to>
    <xdr:pic>
      <xdr:nvPicPr>
        <xdr:cNvPr id="11" name="그림 10">
          <a:extLst>
            <a:ext uri="{FF2B5EF4-FFF2-40B4-BE49-F238E27FC236}">
              <a16:creationId xmlns:a16="http://schemas.microsoft.com/office/drawing/2014/main" id="{00000000-0008-0000-3300-00000B000000}"/>
            </a:ext>
          </a:extLst>
        </xdr:cNvPr>
        <xdr:cNvPicPr>
          <a:picLocks noChangeAspect="1"/>
        </xdr:cNvPicPr>
      </xdr:nvPicPr>
      <xdr:blipFill>
        <a:blip xmlns:r="http://schemas.openxmlformats.org/officeDocument/2006/relationships" r:embed="rId6"/>
        <a:stretch>
          <a:fillRect/>
        </a:stretch>
      </xdr:blipFill>
      <xdr:spPr>
        <a:xfrm>
          <a:off x="14789425" y="15747309"/>
          <a:ext cx="7534496" cy="4820331"/>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3</xdr:col>
      <xdr:colOff>0</xdr:colOff>
      <xdr:row>8</xdr:row>
      <xdr:rowOff>0</xdr:rowOff>
    </xdr:from>
    <xdr:to>
      <xdr:col>16</xdr:col>
      <xdr:colOff>134665</xdr:colOff>
      <xdr:row>43</xdr:row>
      <xdr:rowOff>1024</xdr:rowOff>
    </xdr:to>
    <xdr:pic>
      <xdr:nvPicPr>
        <xdr:cNvPr id="2" name="그림 1">
          <a:extLst>
            <a:ext uri="{FF2B5EF4-FFF2-40B4-BE49-F238E27FC236}">
              <a16:creationId xmlns:a16="http://schemas.microsoft.com/office/drawing/2014/main" id="{00000000-0008-0000-3400-000002000000}"/>
            </a:ext>
          </a:extLst>
        </xdr:cNvPr>
        <xdr:cNvPicPr>
          <a:picLocks noChangeAspect="1"/>
        </xdr:cNvPicPr>
      </xdr:nvPicPr>
      <xdr:blipFill>
        <a:blip xmlns:r="http://schemas.openxmlformats.org/officeDocument/2006/relationships" r:embed="rId1"/>
        <a:stretch>
          <a:fillRect/>
        </a:stretch>
      </xdr:blipFill>
      <xdr:spPr>
        <a:xfrm>
          <a:off x="2057400" y="1676400"/>
          <a:ext cx="9421540" cy="7335274"/>
        </a:xfrm>
        <a:prstGeom prst="rect">
          <a:avLst/>
        </a:prstGeom>
      </xdr:spPr>
    </xdr:pic>
    <xdr:clientData/>
  </xdr:twoCellAnchor>
  <xdr:twoCellAnchor editAs="oneCell">
    <xdr:from>
      <xdr:col>3</xdr:col>
      <xdr:colOff>0</xdr:colOff>
      <xdr:row>45</xdr:row>
      <xdr:rowOff>0</xdr:rowOff>
    </xdr:from>
    <xdr:to>
      <xdr:col>14</xdr:col>
      <xdr:colOff>641979</xdr:colOff>
      <xdr:row>72</xdr:row>
      <xdr:rowOff>142812</xdr:rowOff>
    </xdr:to>
    <xdr:pic>
      <xdr:nvPicPr>
        <xdr:cNvPr id="3" name="그림 2">
          <a:extLst>
            <a:ext uri="{FF2B5EF4-FFF2-40B4-BE49-F238E27FC236}">
              <a16:creationId xmlns:a16="http://schemas.microsoft.com/office/drawing/2014/main" id="{00000000-0008-0000-3400-000003000000}"/>
            </a:ext>
          </a:extLst>
        </xdr:cNvPr>
        <xdr:cNvPicPr>
          <a:picLocks noChangeAspect="1"/>
        </xdr:cNvPicPr>
      </xdr:nvPicPr>
      <xdr:blipFill>
        <a:blip xmlns:r="http://schemas.openxmlformats.org/officeDocument/2006/relationships" r:embed="rId2"/>
        <a:stretch>
          <a:fillRect/>
        </a:stretch>
      </xdr:blipFill>
      <xdr:spPr>
        <a:xfrm>
          <a:off x="2078182" y="9351818"/>
          <a:ext cx="8640381" cy="5753903"/>
        </a:xfrm>
        <a:prstGeom prst="rect">
          <a:avLst/>
        </a:prstGeom>
      </xdr:spPr>
    </xdr:pic>
    <xdr:clientData/>
  </xdr:twoCellAnchor>
  <xdr:twoCellAnchor editAs="oneCell">
    <xdr:from>
      <xdr:col>3</xdr:col>
      <xdr:colOff>0</xdr:colOff>
      <xdr:row>78</xdr:row>
      <xdr:rowOff>0</xdr:rowOff>
    </xdr:from>
    <xdr:to>
      <xdr:col>12</xdr:col>
      <xdr:colOff>221372</xdr:colOff>
      <xdr:row>112</xdr:row>
      <xdr:rowOff>186051</xdr:rowOff>
    </xdr:to>
    <xdr:pic>
      <xdr:nvPicPr>
        <xdr:cNvPr id="4" name="그림 3">
          <a:extLst>
            <a:ext uri="{FF2B5EF4-FFF2-40B4-BE49-F238E27FC236}">
              <a16:creationId xmlns:a16="http://schemas.microsoft.com/office/drawing/2014/main" id="{00000000-0008-0000-3400-000004000000}"/>
            </a:ext>
          </a:extLst>
        </xdr:cNvPr>
        <xdr:cNvPicPr>
          <a:picLocks noChangeAspect="1"/>
        </xdr:cNvPicPr>
      </xdr:nvPicPr>
      <xdr:blipFill>
        <a:blip xmlns:r="http://schemas.openxmlformats.org/officeDocument/2006/relationships" r:embed="rId3"/>
        <a:stretch>
          <a:fillRect/>
        </a:stretch>
      </xdr:blipFill>
      <xdr:spPr>
        <a:xfrm>
          <a:off x="2041071" y="15920357"/>
          <a:ext cx="6716062" cy="7125694"/>
        </a:xfrm>
        <a:prstGeom prst="rect">
          <a:avLst/>
        </a:prstGeom>
      </xdr:spPr>
    </xdr:pic>
    <xdr:clientData/>
  </xdr:twoCellAnchor>
  <xdr:twoCellAnchor editAs="oneCell">
    <xdr:from>
      <xdr:col>2</xdr:col>
      <xdr:colOff>0</xdr:colOff>
      <xdr:row>130</xdr:row>
      <xdr:rowOff>0</xdr:rowOff>
    </xdr:from>
    <xdr:to>
      <xdr:col>15</xdr:col>
      <xdr:colOff>582392</xdr:colOff>
      <xdr:row>163</xdr:row>
      <xdr:rowOff>52684</xdr:rowOff>
    </xdr:to>
    <xdr:pic>
      <xdr:nvPicPr>
        <xdr:cNvPr id="6" name="그림 5">
          <a:extLst>
            <a:ext uri="{FF2B5EF4-FFF2-40B4-BE49-F238E27FC236}">
              <a16:creationId xmlns:a16="http://schemas.microsoft.com/office/drawing/2014/main" id="{00000000-0008-0000-3400-000006000000}"/>
            </a:ext>
          </a:extLst>
        </xdr:cNvPr>
        <xdr:cNvPicPr>
          <a:picLocks noChangeAspect="1"/>
        </xdr:cNvPicPr>
      </xdr:nvPicPr>
      <xdr:blipFill>
        <a:blip xmlns:r="http://schemas.openxmlformats.org/officeDocument/2006/relationships" r:embed="rId4"/>
        <a:stretch>
          <a:fillRect/>
        </a:stretch>
      </xdr:blipFill>
      <xdr:spPr>
        <a:xfrm>
          <a:off x="1360714" y="33677679"/>
          <a:ext cx="9793067" cy="6992326"/>
        </a:xfrm>
        <a:prstGeom prst="rect">
          <a:avLst/>
        </a:prstGeom>
      </xdr:spPr>
    </xdr:pic>
    <xdr:clientData/>
  </xdr:twoCellAnchor>
  <xdr:twoCellAnchor editAs="oneCell">
    <xdr:from>
      <xdr:col>1</xdr:col>
      <xdr:colOff>639535</xdr:colOff>
      <xdr:row>164</xdr:row>
      <xdr:rowOff>81644</xdr:rowOff>
    </xdr:from>
    <xdr:to>
      <xdr:col>12</xdr:col>
      <xdr:colOff>33668</xdr:colOff>
      <xdr:row>194</xdr:row>
      <xdr:rowOff>53929</xdr:rowOff>
    </xdr:to>
    <xdr:pic>
      <xdr:nvPicPr>
        <xdr:cNvPr id="7" name="그림 6">
          <a:extLst>
            <a:ext uri="{FF2B5EF4-FFF2-40B4-BE49-F238E27FC236}">
              <a16:creationId xmlns:a16="http://schemas.microsoft.com/office/drawing/2014/main" id="{00000000-0008-0000-3400-000007000000}"/>
            </a:ext>
          </a:extLst>
        </xdr:cNvPr>
        <xdr:cNvPicPr>
          <a:picLocks noChangeAspect="1"/>
        </xdr:cNvPicPr>
      </xdr:nvPicPr>
      <xdr:blipFill>
        <a:blip xmlns:r="http://schemas.openxmlformats.org/officeDocument/2006/relationships" r:embed="rId5"/>
        <a:stretch>
          <a:fillRect/>
        </a:stretch>
      </xdr:blipFill>
      <xdr:spPr>
        <a:xfrm>
          <a:off x="1319892" y="33555215"/>
          <a:ext cx="7249537" cy="6163535"/>
        </a:xfrm>
        <a:prstGeom prst="rect">
          <a:avLst/>
        </a:prstGeom>
      </xdr:spPr>
    </xdr:pic>
    <xdr:clientData/>
  </xdr:twoCellAnchor>
  <xdr:twoCellAnchor editAs="oneCell">
    <xdr:from>
      <xdr:col>2</xdr:col>
      <xdr:colOff>0</xdr:colOff>
      <xdr:row>227</xdr:row>
      <xdr:rowOff>0</xdr:rowOff>
    </xdr:from>
    <xdr:to>
      <xdr:col>13</xdr:col>
      <xdr:colOff>29694</xdr:colOff>
      <xdr:row>255</xdr:row>
      <xdr:rowOff>163626</xdr:rowOff>
    </xdr:to>
    <xdr:pic>
      <xdr:nvPicPr>
        <xdr:cNvPr id="8" name="그림 7">
          <a:extLst>
            <a:ext uri="{FF2B5EF4-FFF2-40B4-BE49-F238E27FC236}">
              <a16:creationId xmlns:a16="http://schemas.microsoft.com/office/drawing/2014/main" id="{00000000-0008-0000-3400-000008000000}"/>
            </a:ext>
          </a:extLst>
        </xdr:cNvPr>
        <xdr:cNvPicPr>
          <a:picLocks noChangeAspect="1"/>
        </xdr:cNvPicPr>
      </xdr:nvPicPr>
      <xdr:blipFill>
        <a:blip xmlns:r="http://schemas.openxmlformats.org/officeDocument/2006/relationships" r:embed="rId6"/>
        <a:stretch>
          <a:fillRect/>
        </a:stretch>
      </xdr:blipFill>
      <xdr:spPr>
        <a:xfrm>
          <a:off x="1385455" y="47521091"/>
          <a:ext cx="8021169" cy="5982535"/>
        </a:xfrm>
        <a:prstGeom prst="rect">
          <a:avLst/>
        </a:prstGeom>
      </xdr:spPr>
    </xdr:pic>
    <xdr:clientData/>
  </xdr:twoCellAnchor>
  <xdr:twoCellAnchor editAs="oneCell">
    <xdr:from>
      <xdr:col>2</xdr:col>
      <xdr:colOff>0</xdr:colOff>
      <xdr:row>257</xdr:row>
      <xdr:rowOff>0</xdr:rowOff>
    </xdr:from>
    <xdr:to>
      <xdr:col>11</xdr:col>
      <xdr:colOff>605164</xdr:colOff>
      <xdr:row>282</xdr:row>
      <xdr:rowOff>158113</xdr:rowOff>
    </xdr:to>
    <xdr:pic>
      <xdr:nvPicPr>
        <xdr:cNvPr id="10" name="그림 9">
          <a:extLst>
            <a:ext uri="{FF2B5EF4-FFF2-40B4-BE49-F238E27FC236}">
              <a16:creationId xmlns:a16="http://schemas.microsoft.com/office/drawing/2014/main" id="{00000000-0008-0000-3400-00000A000000}"/>
            </a:ext>
          </a:extLst>
        </xdr:cNvPr>
        <xdr:cNvPicPr>
          <a:picLocks noChangeAspect="1"/>
        </xdr:cNvPicPr>
      </xdr:nvPicPr>
      <xdr:blipFill>
        <a:blip xmlns:r="http://schemas.openxmlformats.org/officeDocument/2006/relationships" r:embed="rId7"/>
        <a:stretch>
          <a:fillRect/>
        </a:stretch>
      </xdr:blipFill>
      <xdr:spPr>
        <a:xfrm>
          <a:off x="1374913" y="53547065"/>
          <a:ext cx="6792273" cy="5334744"/>
        </a:xfrm>
        <a:prstGeom prst="rect">
          <a:avLst/>
        </a:prstGeom>
      </xdr:spPr>
    </xdr:pic>
    <xdr:clientData/>
  </xdr:twoCellAnchor>
  <xdr:twoCellAnchor editAs="oneCell">
    <xdr:from>
      <xdr:col>1</xdr:col>
      <xdr:colOff>0</xdr:colOff>
      <xdr:row>298</xdr:row>
      <xdr:rowOff>0</xdr:rowOff>
    </xdr:from>
    <xdr:to>
      <xdr:col>14</xdr:col>
      <xdr:colOff>179815</xdr:colOff>
      <xdr:row>333</xdr:row>
      <xdr:rowOff>2254</xdr:rowOff>
    </xdr:to>
    <xdr:pic>
      <xdr:nvPicPr>
        <xdr:cNvPr id="11" name="그림 10">
          <a:extLst>
            <a:ext uri="{FF2B5EF4-FFF2-40B4-BE49-F238E27FC236}">
              <a16:creationId xmlns:a16="http://schemas.microsoft.com/office/drawing/2014/main" id="{00000000-0008-0000-3400-00000B000000}"/>
            </a:ext>
          </a:extLst>
        </xdr:cNvPr>
        <xdr:cNvPicPr>
          <a:picLocks noChangeAspect="1"/>
        </xdr:cNvPicPr>
      </xdr:nvPicPr>
      <xdr:blipFill>
        <a:blip xmlns:r="http://schemas.openxmlformats.org/officeDocument/2006/relationships" r:embed="rId8"/>
        <a:stretch>
          <a:fillRect/>
        </a:stretch>
      </xdr:blipFill>
      <xdr:spPr>
        <a:xfrm>
          <a:off x="687457" y="62036739"/>
          <a:ext cx="9488224" cy="7249537"/>
        </a:xfrm>
        <a:prstGeom prst="rect">
          <a:avLst/>
        </a:prstGeom>
      </xdr:spPr>
    </xdr:pic>
    <xdr:clientData/>
  </xdr:twoCellAnchor>
  <xdr:twoCellAnchor editAs="oneCell">
    <xdr:from>
      <xdr:col>1</xdr:col>
      <xdr:colOff>0</xdr:colOff>
      <xdr:row>335</xdr:row>
      <xdr:rowOff>0</xdr:rowOff>
    </xdr:from>
    <xdr:to>
      <xdr:col>10</xdr:col>
      <xdr:colOff>592612</xdr:colOff>
      <xdr:row>360</xdr:row>
      <xdr:rowOff>88161</xdr:rowOff>
    </xdr:to>
    <xdr:pic>
      <xdr:nvPicPr>
        <xdr:cNvPr id="12" name="그림 11">
          <a:extLst>
            <a:ext uri="{FF2B5EF4-FFF2-40B4-BE49-F238E27FC236}">
              <a16:creationId xmlns:a16="http://schemas.microsoft.com/office/drawing/2014/main" id="{00000000-0008-0000-3400-00000C000000}"/>
            </a:ext>
          </a:extLst>
        </xdr:cNvPr>
        <xdr:cNvPicPr>
          <a:picLocks noChangeAspect="1"/>
        </xdr:cNvPicPr>
      </xdr:nvPicPr>
      <xdr:blipFill>
        <a:blip xmlns:r="http://schemas.openxmlformats.org/officeDocument/2006/relationships" r:embed="rId9"/>
        <a:stretch>
          <a:fillRect/>
        </a:stretch>
      </xdr:blipFill>
      <xdr:spPr>
        <a:xfrm>
          <a:off x="683559" y="71661618"/>
          <a:ext cx="6744641" cy="5410955"/>
        </a:xfrm>
        <a:prstGeom prst="rect">
          <a:avLst/>
        </a:prstGeom>
      </xdr:spPr>
    </xdr:pic>
    <xdr:clientData/>
  </xdr:twoCellAnchor>
  <xdr:twoCellAnchor editAs="oneCell">
    <xdr:from>
      <xdr:col>1</xdr:col>
      <xdr:colOff>0</xdr:colOff>
      <xdr:row>365</xdr:row>
      <xdr:rowOff>0</xdr:rowOff>
    </xdr:from>
    <xdr:to>
      <xdr:col>10</xdr:col>
      <xdr:colOff>162809</xdr:colOff>
      <xdr:row>381</xdr:row>
      <xdr:rowOff>200521</xdr:rowOff>
    </xdr:to>
    <xdr:pic>
      <xdr:nvPicPr>
        <xdr:cNvPr id="13" name="그림 12">
          <a:extLst>
            <a:ext uri="{FF2B5EF4-FFF2-40B4-BE49-F238E27FC236}">
              <a16:creationId xmlns:a16="http://schemas.microsoft.com/office/drawing/2014/main" id="{00000000-0008-0000-3400-00000D000000}"/>
            </a:ext>
          </a:extLst>
        </xdr:cNvPr>
        <xdr:cNvPicPr>
          <a:picLocks noChangeAspect="1"/>
        </xdr:cNvPicPr>
      </xdr:nvPicPr>
      <xdr:blipFill>
        <a:blip xmlns:r="http://schemas.openxmlformats.org/officeDocument/2006/relationships" r:embed="rId10"/>
        <a:stretch>
          <a:fillRect/>
        </a:stretch>
      </xdr:blipFill>
      <xdr:spPr>
        <a:xfrm>
          <a:off x="685800" y="76819125"/>
          <a:ext cx="6335009" cy="3553321"/>
        </a:xfrm>
        <a:prstGeom prst="rect">
          <a:avLst/>
        </a:prstGeom>
      </xdr:spPr>
    </xdr:pic>
    <xdr:clientData/>
  </xdr:twoCellAnchor>
  <xdr:twoCellAnchor editAs="oneCell">
    <xdr:from>
      <xdr:col>11</xdr:col>
      <xdr:colOff>0</xdr:colOff>
      <xdr:row>365</xdr:row>
      <xdr:rowOff>0</xdr:rowOff>
    </xdr:from>
    <xdr:to>
      <xdr:col>19</xdr:col>
      <xdr:colOff>312662</xdr:colOff>
      <xdr:row>385</xdr:row>
      <xdr:rowOff>10111</xdr:rowOff>
    </xdr:to>
    <xdr:pic>
      <xdr:nvPicPr>
        <xdr:cNvPr id="14" name="그림 13">
          <a:extLst>
            <a:ext uri="{FF2B5EF4-FFF2-40B4-BE49-F238E27FC236}">
              <a16:creationId xmlns:a16="http://schemas.microsoft.com/office/drawing/2014/main" id="{00000000-0008-0000-3400-00000E000000}"/>
            </a:ext>
          </a:extLst>
        </xdr:cNvPr>
        <xdr:cNvPicPr>
          <a:picLocks noChangeAspect="1"/>
        </xdr:cNvPicPr>
      </xdr:nvPicPr>
      <xdr:blipFill>
        <a:blip xmlns:r="http://schemas.openxmlformats.org/officeDocument/2006/relationships" r:embed="rId11"/>
        <a:stretch>
          <a:fillRect/>
        </a:stretch>
      </xdr:blipFill>
      <xdr:spPr>
        <a:xfrm>
          <a:off x="7543800" y="76819125"/>
          <a:ext cx="7240010" cy="4201111"/>
        </a:xfrm>
        <a:prstGeom prst="rect">
          <a:avLst/>
        </a:prstGeom>
      </xdr:spPr>
    </xdr:pic>
    <xdr:clientData/>
  </xdr:twoCellAnchor>
  <xdr:twoCellAnchor editAs="oneCell">
    <xdr:from>
      <xdr:col>1</xdr:col>
      <xdr:colOff>0</xdr:colOff>
      <xdr:row>383</xdr:row>
      <xdr:rowOff>0</xdr:rowOff>
    </xdr:from>
    <xdr:to>
      <xdr:col>8</xdr:col>
      <xdr:colOff>410302</xdr:colOff>
      <xdr:row>399</xdr:row>
      <xdr:rowOff>48100</xdr:rowOff>
    </xdr:to>
    <xdr:pic>
      <xdr:nvPicPr>
        <xdr:cNvPr id="15" name="그림 14">
          <a:extLst>
            <a:ext uri="{FF2B5EF4-FFF2-40B4-BE49-F238E27FC236}">
              <a16:creationId xmlns:a16="http://schemas.microsoft.com/office/drawing/2014/main" id="{00000000-0008-0000-3400-00000F000000}"/>
            </a:ext>
          </a:extLst>
        </xdr:cNvPr>
        <xdr:cNvPicPr>
          <a:picLocks noChangeAspect="1"/>
        </xdr:cNvPicPr>
      </xdr:nvPicPr>
      <xdr:blipFill>
        <a:blip xmlns:r="http://schemas.openxmlformats.org/officeDocument/2006/relationships" r:embed="rId12"/>
        <a:stretch>
          <a:fillRect/>
        </a:stretch>
      </xdr:blipFill>
      <xdr:spPr>
        <a:xfrm>
          <a:off x="685800" y="80591025"/>
          <a:ext cx="5210902" cy="3400900"/>
        </a:xfrm>
        <a:prstGeom prst="rect">
          <a:avLst/>
        </a:prstGeom>
      </xdr:spPr>
    </xdr:pic>
    <xdr:clientData/>
  </xdr:twoCellAnchor>
  <xdr:twoCellAnchor editAs="oneCell">
    <xdr:from>
      <xdr:col>1</xdr:col>
      <xdr:colOff>112835</xdr:colOff>
      <xdr:row>406</xdr:row>
      <xdr:rowOff>104042</xdr:rowOff>
    </xdr:from>
    <xdr:to>
      <xdr:col>9</xdr:col>
      <xdr:colOff>377407</xdr:colOff>
      <xdr:row>426</xdr:row>
      <xdr:rowOff>139257</xdr:rowOff>
    </xdr:to>
    <xdr:pic>
      <xdr:nvPicPr>
        <xdr:cNvPr id="16" name="그림 15">
          <a:extLst>
            <a:ext uri="{FF2B5EF4-FFF2-40B4-BE49-F238E27FC236}">
              <a16:creationId xmlns:a16="http://schemas.microsoft.com/office/drawing/2014/main" id="{00000000-0008-0000-3400-000010000000}"/>
            </a:ext>
          </a:extLst>
        </xdr:cNvPr>
        <xdr:cNvPicPr>
          <a:picLocks noChangeAspect="1"/>
        </xdr:cNvPicPr>
      </xdr:nvPicPr>
      <xdr:blipFill>
        <a:blip xmlns:r="http://schemas.openxmlformats.org/officeDocument/2006/relationships" r:embed="rId13"/>
        <a:stretch>
          <a:fillRect/>
        </a:stretch>
      </xdr:blipFill>
      <xdr:spPr>
        <a:xfrm>
          <a:off x="798635" y="85514717"/>
          <a:ext cx="5750972" cy="4341075"/>
        </a:xfrm>
        <a:prstGeom prst="rect">
          <a:avLst/>
        </a:prstGeom>
      </xdr:spPr>
    </xdr:pic>
    <xdr:clientData/>
  </xdr:twoCellAnchor>
  <xdr:twoCellAnchor editAs="oneCell">
    <xdr:from>
      <xdr:col>15</xdr:col>
      <xdr:colOff>0</xdr:colOff>
      <xdr:row>409</xdr:row>
      <xdr:rowOff>0</xdr:rowOff>
    </xdr:from>
    <xdr:to>
      <xdr:col>17</xdr:col>
      <xdr:colOff>537645</xdr:colOff>
      <xdr:row>410</xdr:row>
      <xdr:rowOff>66715</xdr:rowOff>
    </xdr:to>
    <xdr:pic>
      <xdr:nvPicPr>
        <xdr:cNvPr id="17" name="그림 16">
          <a:extLst>
            <a:ext uri="{FF2B5EF4-FFF2-40B4-BE49-F238E27FC236}">
              <a16:creationId xmlns:a16="http://schemas.microsoft.com/office/drawing/2014/main" id="{00000000-0008-0000-3400-000011000000}"/>
            </a:ext>
          </a:extLst>
        </xdr:cNvPr>
        <xdr:cNvPicPr>
          <a:picLocks noChangeAspect="1"/>
        </xdr:cNvPicPr>
      </xdr:nvPicPr>
      <xdr:blipFill>
        <a:blip xmlns:r="http://schemas.openxmlformats.org/officeDocument/2006/relationships" r:embed="rId14"/>
        <a:stretch>
          <a:fillRect/>
        </a:stretch>
      </xdr:blipFill>
      <xdr:spPr>
        <a:xfrm>
          <a:off x="10658475" y="86039325"/>
          <a:ext cx="2314898" cy="276264"/>
        </a:xfrm>
        <a:prstGeom prst="rect">
          <a:avLst/>
        </a:prstGeom>
      </xdr:spPr>
    </xdr:pic>
    <xdr:clientData/>
  </xdr:twoCellAnchor>
  <xdr:twoCellAnchor editAs="oneCell">
    <xdr:from>
      <xdr:col>11</xdr:col>
      <xdr:colOff>0</xdr:colOff>
      <xdr:row>420</xdr:row>
      <xdr:rowOff>0</xdr:rowOff>
    </xdr:from>
    <xdr:to>
      <xdr:col>19</xdr:col>
      <xdr:colOff>603493</xdr:colOff>
      <xdr:row>441</xdr:row>
      <xdr:rowOff>4956</xdr:rowOff>
    </xdr:to>
    <xdr:pic>
      <xdr:nvPicPr>
        <xdr:cNvPr id="19" name="그림 18">
          <a:extLst>
            <a:ext uri="{FF2B5EF4-FFF2-40B4-BE49-F238E27FC236}">
              <a16:creationId xmlns:a16="http://schemas.microsoft.com/office/drawing/2014/main" id="{00000000-0008-0000-3400-000013000000}"/>
            </a:ext>
          </a:extLst>
        </xdr:cNvPr>
        <xdr:cNvPicPr>
          <a:picLocks noChangeAspect="1"/>
        </xdr:cNvPicPr>
      </xdr:nvPicPr>
      <xdr:blipFill>
        <a:blip xmlns:r="http://schemas.openxmlformats.org/officeDocument/2006/relationships" r:embed="rId15"/>
        <a:stretch>
          <a:fillRect/>
        </a:stretch>
      </xdr:blipFill>
      <xdr:spPr>
        <a:xfrm>
          <a:off x="7519147" y="89803941"/>
          <a:ext cx="7506748" cy="4534533"/>
        </a:xfrm>
        <a:prstGeom prst="rect">
          <a:avLst/>
        </a:prstGeom>
      </xdr:spPr>
    </xdr:pic>
    <xdr:clientData/>
  </xdr:twoCellAnchor>
  <xdr:twoCellAnchor editAs="oneCell">
    <xdr:from>
      <xdr:col>1</xdr:col>
      <xdr:colOff>0</xdr:colOff>
      <xdr:row>428</xdr:row>
      <xdr:rowOff>0</xdr:rowOff>
    </xdr:from>
    <xdr:to>
      <xdr:col>10</xdr:col>
      <xdr:colOff>172570</xdr:colOff>
      <xdr:row>436</xdr:row>
      <xdr:rowOff>49696</xdr:rowOff>
    </xdr:to>
    <xdr:pic>
      <xdr:nvPicPr>
        <xdr:cNvPr id="20" name="그림 19">
          <a:extLst>
            <a:ext uri="{FF2B5EF4-FFF2-40B4-BE49-F238E27FC236}">
              <a16:creationId xmlns:a16="http://schemas.microsoft.com/office/drawing/2014/main" id="{00000000-0008-0000-3400-000014000000}"/>
            </a:ext>
          </a:extLst>
        </xdr:cNvPr>
        <xdr:cNvPicPr>
          <a:picLocks noChangeAspect="1"/>
        </xdr:cNvPicPr>
      </xdr:nvPicPr>
      <xdr:blipFill>
        <a:blip xmlns:r="http://schemas.openxmlformats.org/officeDocument/2006/relationships" r:embed="rId16"/>
        <a:stretch>
          <a:fillRect/>
        </a:stretch>
      </xdr:blipFill>
      <xdr:spPr>
        <a:xfrm>
          <a:off x="687457" y="89137435"/>
          <a:ext cx="6359678" cy="1772478"/>
        </a:xfrm>
        <a:prstGeom prst="rect">
          <a:avLst/>
        </a:prstGeom>
      </xdr:spPr>
    </xdr:pic>
    <xdr:clientData/>
  </xdr:twoCellAnchor>
  <xdr:twoCellAnchor editAs="oneCell">
    <xdr:from>
      <xdr:col>1</xdr:col>
      <xdr:colOff>0</xdr:colOff>
      <xdr:row>448</xdr:row>
      <xdr:rowOff>0</xdr:rowOff>
    </xdr:from>
    <xdr:to>
      <xdr:col>8</xdr:col>
      <xdr:colOff>131970</xdr:colOff>
      <xdr:row>475</xdr:row>
      <xdr:rowOff>68725</xdr:rowOff>
    </xdr:to>
    <xdr:pic>
      <xdr:nvPicPr>
        <xdr:cNvPr id="21" name="그림 20">
          <a:extLst>
            <a:ext uri="{FF2B5EF4-FFF2-40B4-BE49-F238E27FC236}">
              <a16:creationId xmlns:a16="http://schemas.microsoft.com/office/drawing/2014/main" id="{00000000-0008-0000-3400-000015000000}"/>
            </a:ext>
          </a:extLst>
        </xdr:cNvPr>
        <xdr:cNvPicPr>
          <a:picLocks noChangeAspect="1"/>
        </xdr:cNvPicPr>
      </xdr:nvPicPr>
      <xdr:blipFill>
        <a:blip xmlns:r="http://schemas.openxmlformats.org/officeDocument/2006/relationships" r:embed="rId17"/>
        <a:stretch>
          <a:fillRect/>
        </a:stretch>
      </xdr:blipFill>
      <xdr:spPr>
        <a:xfrm>
          <a:off x="687457" y="93345000"/>
          <a:ext cx="4944165" cy="5792008"/>
        </a:xfrm>
        <a:prstGeom prst="rect">
          <a:avLst/>
        </a:prstGeom>
      </xdr:spPr>
    </xdr:pic>
    <xdr:clientData/>
  </xdr:twoCellAnchor>
  <xdr:twoCellAnchor editAs="oneCell">
    <xdr:from>
      <xdr:col>9</xdr:col>
      <xdr:colOff>0</xdr:colOff>
      <xdr:row>451</xdr:row>
      <xdr:rowOff>0</xdr:rowOff>
    </xdr:from>
    <xdr:to>
      <xdr:col>19</xdr:col>
      <xdr:colOff>130004</xdr:colOff>
      <xdr:row>463</xdr:row>
      <xdr:rowOff>202066</xdr:rowOff>
    </xdr:to>
    <xdr:pic>
      <xdr:nvPicPr>
        <xdr:cNvPr id="22" name="그림 21">
          <a:extLst>
            <a:ext uri="{FF2B5EF4-FFF2-40B4-BE49-F238E27FC236}">
              <a16:creationId xmlns:a16="http://schemas.microsoft.com/office/drawing/2014/main" id="{00000000-0008-0000-3400-000016000000}"/>
            </a:ext>
          </a:extLst>
        </xdr:cNvPr>
        <xdr:cNvPicPr>
          <a:picLocks noChangeAspect="1"/>
        </xdr:cNvPicPr>
      </xdr:nvPicPr>
      <xdr:blipFill>
        <a:blip xmlns:r="http://schemas.openxmlformats.org/officeDocument/2006/relationships" r:embed="rId18"/>
        <a:stretch>
          <a:fillRect/>
        </a:stretch>
      </xdr:blipFill>
      <xdr:spPr>
        <a:xfrm>
          <a:off x="6187109" y="93966196"/>
          <a:ext cx="8440328" cy="2753109"/>
        </a:xfrm>
        <a:prstGeom prst="rect">
          <a:avLst/>
        </a:prstGeom>
      </xdr:spPr>
    </xdr:pic>
    <xdr:clientData/>
  </xdr:twoCellAnchor>
  <xdr:twoCellAnchor editAs="oneCell">
    <xdr:from>
      <xdr:col>9</xdr:col>
      <xdr:colOff>0</xdr:colOff>
      <xdr:row>465</xdr:row>
      <xdr:rowOff>0</xdr:rowOff>
    </xdr:from>
    <xdr:to>
      <xdr:col>16</xdr:col>
      <xdr:colOff>518810</xdr:colOff>
      <xdr:row>495</xdr:row>
      <xdr:rowOff>113750</xdr:rowOff>
    </xdr:to>
    <xdr:pic>
      <xdr:nvPicPr>
        <xdr:cNvPr id="23" name="그림 22">
          <a:extLst>
            <a:ext uri="{FF2B5EF4-FFF2-40B4-BE49-F238E27FC236}">
              <a16:creationId xmlns:a16="http://schemas.microsoft.com/office/drawing/2014/main" id="{00000000-0008-0000-3400-000017000000}"/>
            </a:ext>
          </a:extLst>
        </xdr:cNvPr>
        <xdr:cNvPicPr>
          <a:picLocks noChangeAspect="1"/>
        </xdr:cNvPicPr>
      </xdr:nvPicPr>
      <xdr:blipFill>
        <a:blip xmlns:r="http://schemas.openxmlformats.org/officeDocument/2006/relationships" r:embed="rId19"/>
        <a:stretch>
          <a:fillRect/>
        </a:stretch>
      </xdr:blipFill>
      <xdr:spPr>
        <a:xfrm>
          <a:off x="6198577" y="99441000"/>
          <a:ext cx="5706271" cy="6554115"/>
        </a:xfrm>
        <a:prstGeom prst="rect">
          <a:avLst/>
        </a:prstGeom>
      </xdr:spPr>
    </xdr:pic>
    <xdr:clientData/>
  </xdr:twoCellAnchor>
  <xdr:twoCellAnchor editAs="oneCell">
    <xdr:from>
      <xdr:col>9</xdr:col>
      <xdr:colOff>0</xdr:colOff>
      <xdr:row>496</xdr:row>
      <xdr:rowOff>0</xdr:rowOff>
    </xdr:from>
    <xdr:to>
      <xdr:col>16</xdr:col>
      <xdr:colOff>547389</xdr:colOff>
      <xdr:row>498</xdr:row>
      <xdr:rowOff>32302</xdr:rowOff>
    </xdr:to>
    <xdr:pic>
      <xdr:nvPicPr>
        <xdr:cNvPr id="24" name="그림 23">
          <a:extLst>
            <a:ext uri="{FF2B5EF4-FFF2-40B4-BE49-F238E27FC236}">
              <a16:creationId xmlns:a16="http://schemas.microsoft.com/office/drawing/2014/main" id="{00000000-0008-0000-3400-000018000000}"/>
            </a:ext>
          </a:extLst>
        </xdr:cNvPr>
        <xdr:cNvPicPr>
          <a:picLocks noChangeAspect="1"/>
        </xdr:cNvPicPr>
      </xdr:nvPicPr>
      <xdr:blipFill>
        <a:blip xmlns:r="http://schemas.openxmlformats.org/officeDocument/2006/relationships" r:embed="rId20"/>
        <a:stretch>
          <a:fillRect/>
        </a:stretch>
      </xdr:blipFill>
      <xdr:spPr>
        <a:xfrm>
          <a:off x="6198577" y="106093846"/>
          <a:ext cx="5734850" cy="457264"/>
        </a:xfrm>
        <a:prstGeom prst="rect">
          <a:avLst/>
        </a:prstGeom>
      </xdr:spPr>
    </xdr:pic>
    <xdr:clientData/>
  </xdr:twoCellAnchor>
  <xdr:twoCellAnchor editAs="oneCell">
    <xdr:from>
      <xdr:col>18</xdr:col>
      <xdr:colOff>19050</xdr:colOff>
      <xdr:row>404</xdr:row>
      <xdr:rowOff>92177</xdr:rowOff>
    </xdr:from>
    <xdr:to>
      <xdr:col>22</xdr:col>
      <xdr:colOff>1082398</xdr:colOff>
      <xdr:row>407</xdr:row>
      <xdr:rowOff>162091</xdr:rowOff>
    </xdr:to>
    <xdr:pic>
      <xdr:nvPicPr>
        <xdr:cNvPr id="25" name="그림 24">
          <a:extLst>
            <a:ext uri="{FF2B5EF4-FFF2-40B4-BE49-F238E27FC236}">
              <a16:creationId xmlns:a16="http://schemas.microsoft.com/office/drawing/2014/main" id="{00000000-0008-0000-3400-000019000000}"/>
            </a:ext>
          </a:extLst>
        </xdr:cNvPr>
        <xdr:cNvPicPr>
          <a:picLocks noChangeAspect="1"/>
        </xdr:cNvPicPr>
      </xdr:nvPicPr>
      <xdr:blipFill>
        <a:blip xmlns:r="http://schemas.openxmlformats.org/officeDocument/2006/relationships" r:embed="rId21"/>
        <a:stretch>
          <a:fillRect/>
        </a:stretch>
      </xdr:blipFill>
      <xdr:spPr>
        <a:xfrm>
          <a:off x="13134975" y="85083752"/>
          <a:ext cx="4744480" cy="765239"/>
        </a:xfrm>
        <a:prstGeom prst="rect">
          <a:avLst/>
        </a:prstGeom>
      </xdr:spPr>
    </xdr:pic>
    <xdr:clientData/>
  </xdr:twoCellAnchor>
  <xdr:twoCellAnchor editAs="oneCell">
    <xdr:from>
      <xdr:col>13</xdr:col>
      <xdr:colOff>273325</xdr:colOff>
      <xdr:row>508</xdr:row>
      <xdr:rowOff>36461</xdr:rowOff>
    </xdr:from>
    <xdr:to>
      <xdr:col>17</xdr:col>
      <xdr:colOff>472109</xdr:colOff>
      <xdr:row>516</xdr:row>
      <xdr:rowOff>43580</xdr:rowOff>
    </xdr:to>
    <xdr:pic>
      <xdr:nvPicPr>
        <xdr:cNvPr id="5" name="그림 4">
          <a:extLst>
            <a:ext uri="{FF2B5EF4-FFF2-40B4-BE49-F238E27FC236}">
              <a16:creationId xmlns:a16="http://schemas.microsoft.com/office/drawing/2014/main" id="{00000000-0008-0000-3400-000005000000}"/>
            </a:ext>
          </a:extLst>
        </xdr:cNvPr>
        <xdr:cNvPicPr>
          <a:picLocks noChangeAspect="1"/>
        </xdr:cNvPicPr>
      </xdr:nvPicPr>
      <xdr:blipFill>
        <a:blip xmlns:r="http://schemas.openxmlformats.org/officeDocument/2006/relationships" r:embed="rId22"/>
        <a:stretch>
          <a:fillRect/>
        </a:stretch>
      </xdr:blipFill>
      <xdr:spPr>
        <a:xfrm>
          <a:off x="9582977" y="105987591"/>
          <a:ext cx="3346175" cy="1663641"/>
        </a:xfrm>
        <a:prstGeom prst="rect">
          <a:avLst/>
        </a:prstGeom>
      </xdr:spPr>
    </xdr:pic>
    <xdr:clientData/>
  </xdr:twoCellAnchor>
  <xdr:twoCellAnchor editAs="oneCell">
    <xdr:from>
      <xdr:col>11</xdr:col>
      <xdr:colOff>974912</xdr:colOff>
      <xdr:row>517</xdr:row>
      <xdr:rowOff>71040</xdr:rowOff>
    </xdr:from>
    <xdr:to>
      <xdr:col>21</xdr:col>
      <xdr:colOff>152298</xdr:colOff>
      <xdr:row>529</xdr:row>
      <xdr:rowOff>108686</xdr:rowOff>
    </xdr:to>
    <xdr:pic>
      <xdr:nvPicPr>
        <xdr:cNvPr id="18" name="그림 17">
          <a:extLst>
            <a:ext uri="{FF2B5EF4-FFF2-40B4-BE49-F238E27FC236}">
              <a16:creationId xmlns:a16="http://schemas.microsoft.com/office/drawing/2014/main" id="{00000000-0008-0000-3400-000012000000}"/>
            </a:ext>
          </a:extLst>
        </xdr:cNvPr>
        <xdr:cNvPicPr>
          <a:picLocks noChangeAspect="1"/>
        </xdr:cNvPicPr>
      </xdr:nvPicPr>
      <xdr:blipFill>
        <a:blip xmlns:r="http://schemas.openxmlformats.org/officeDocument/2006/relationships" r:embed="rId23"/>
        <a:stretch>
          <a:fillRect/>
        </a:stretch>
      </xdr:blipFill>
      <xdr:spPr>
        <a:xfrm>
          <a:off x="8494059" y="110908422"/>
          <a:ext cx="7447758" cy="2596466"/>
        </a:xfrm>
        <a:prstGeom prst="rect">
          <a:avLst/>
        </a:prstGeom>
      </xdr:spPr>
    </xdr:pic>
    <xdr:clientData/>
  </xdr:twoCellAnchor>
  <xdr:twoCellAnchor editAs="oneCell">
    <xdr:from>
      <xdr:col>8</xdr:col>
      <xdr:colOff>7326</xdr:colOff>
      <xdr:row>531</xdr:row>
      <xdr:rowOff>206421</xdr:rowOff>
    </xdr:from>
    <xdr:to>
      <xdr:col>13</xdr:col>
      <xdr:colOff>653833</xdr:colOff>
      <xdr:row>534</xdr:row>
      <xdr:rowOff>151799</xdr:rowOff>
    </xdr:to>
    <xdr:pic>
      <xdr:nvPicPr>
        <xdr:cNvPr id="26" name="그림 25">
          <a:extLst>
            <a:ext uri="{FF2B5EF4-FFF2-40B4-BE49-F238E27FC236}">
              <a16:creationId xmlns:a16="http://schemas.microsoft.com/office/drawing/2014/main" id="{00000000-0008-0000-3400-00001A000000}"/>
            </a:ext>
          </a:extLst>
        </xdr:cNvPr>
        <xdr:cNvPicPr>
          <a:picLocks noChangeAspect="1"/>
        </xdr:cNvPicPr>
      </xdr:nvPicPr>
      <xdr:blipFill>
        <a:blip xmlns:r="http://schemas.openxmlformats.org/officeDocument/2006/relationships" r:embed="rId24"/>
        <a:stretch>
          <a:fillRect/>
        </a:stretch>
      </xdr:blipFill>
      <xdr:spPr>
        <a:xfrm>
          <a:off x="5517172" y="113781056"/>
          <a:ext cx="4456507" cy="582820"/>
        </a:xfrm>
        <a:prstGeom prst="rect">
          <a:avLst/>
        </a:prstGeom>
      </xdr:spPr>
    </xdr:pic>
    <xdr:clientData/>
  </xdr:twoCellAnchor>
  <xdr:twoCellAnchor editAs="oneCell">
    <xdr:from>
      <xdr:col>2</xdr:col>
      <xdr:colOff>109906</xdr:colOff>
      <xdr:row>536</xdr:row>
      <xdr:rowOff>43963</xdr:rowOff>
    </xdr:from>
    <xdr:to>
      <xdr:col>8</xdr:col>
      <xdr:colOff>175848</xdr:colOff>
      <xdr:row>541</xdr:row>
      <xdr:rowOff>71071</xdr:rowOff>
    </xdr:to>
    <xdr:pic>
      <xdr:nvPicPr>
        <xdr:cNvPr id="27" name="그림 26">
          <a:extLst>
            <a:ext uri="{FF2B5EF4-FFF2-40B4-BE49-F238E27FC236}">
              <a16:creationId xmlns:a16="http://schemas.microsoft.com/office/drawing/2014/main" id="{00000000-0008-0000-3400-00001B000000}"/>
            </a:ext>
          </a:extLst>
        </xdr:cNvPr>
        <xdr:cNvPicPr>
          <a:picLocks noChangeAspect="1"/>
        </xdr:cNvPicPr>
      </xdr:nvPicPr>
      <xdr:blipFill>
        <a:blip xmlns:r="http://schemas.openxmlformats.org/officeDocument/2006/relationships" r:embed="rId25"/>
        <a:stretch>
          <a:fillRect/>
        </a:stretch>
      </xdr:blipFill>
      <xdr:spPr>
        <a:xfrm>
          <a:off x="1487368" y="114681001"/>
          <a:ext cx="4198326" cy="1089512"/>
        </a:xfrm>
        <a:prstGeom prst="rect">
          <a:avLst/>
        </a:prstGeom>
      </xdr:spPr>
    </xdr:pic>
    <xdr:clientData/>
  </xdr:twoCellAnchor>
  <xdr:twoCellAnchor editAs="oneCell">
    <xdr:from>
      <xdr:col>8</xdr:col>
      <xdr:colOff>439615</xdr:colOff>
      <xdr:row>537</xdr:row>
      <xdr:rowOff>28949</xdr:rowOff>
    </xdr:from>
    <xdr:to>
      <xdr:col>13</xdr:col>
      <xdr:colOff>192834</xdr:colOff>
      <xdr:row>547</xdr:row>
      <xdr:rowOff>3446</xdr:rowOff>
    </xdr:to>
    <xdr:pic>
      <xdr:nvPicPr>
        <xdr:cNvPr id="28" name="그림 27">
          <a:extLst>
            <a:ext uri="{FF2B5EF4-FFF2-40B4-BE49-F238E27FC236}">
              <a16:creationId xmlns:a16="http://schemas.microsoft.com/office/drawing/2014/main" id="{00000000-0008-0000-3400-00001C000000}"/>
            </a:ext>
          </a:extLst>
        </xdr:cNvPr>
        <xdr:cNvPicPr>
          <a:picLocks noChangeAspect="1"/>
        </xdr:cNvPicPr>
      </xdr:nvPicPr>
      <xdr:blipFill>
        <a:blip xmlns:r="http://schemas.openxmlformats.org/officeDocument/2006/relationships" r:embed="rId26"/>
        <a:stretch>
          <a:fillRect/>
        </a:stretch>
      </xdr:blipFill>
      <xdr:spPr>
        <a:xfrm>
          <a:off x="5949461" y="114878468"/>
          <a:ext cx="3563219" cy="2113959"/>
        </a:xfrm>
        <a:prstGeom prst="rect">
          <a:avLst/>
        </a:prstGeom>
      </xdr:spPr>
    </xdr:pic>
    <xdr:clientData/>
  </xdr:twoCellAnchor>
  <xdr:twoCellAnchor editAs="oneCell">
    <xdr:from>
      <xdr:col>13</xdr:col>
      <xdr:colOff>329711</xdr:colOff>
      <xdr:row>537</xdr:row>
      <xdr:rowOff>103301</xdr:rowOff>
    </xdr:from>
    <xdr:to>
      <xdr:col>18</xdr:col>
      <xdr:colOff>318849</xdr:colOff>
      <xdr:row>546</xdr:row>
      <xdr:rowOff>3340</xdr:rowOff>
    </xdr:to>
    <xdr:pic>
      <xdr:nvPicPr>
        <xdr:cNvPr id="29" name="그림 28">
          <a:extLst>
            <a:ext uri="{FF2B5EF4-FFF2-40B4-BE49-F238E27FC236}">
              <a16:creationId xmlns:a16="http://schemas.microsoft.com/office/drawing/2014/main" id="{00000000-0008-0000-3400-00001D000000}"/>
            </a:ext>
          </a:extLst>
        </xdr:cNvPr>
        <xdr:cNvPicPr>
          <a:picLocks noChangeAspect="1"/>
        </xdr:cNvPicPr>
      </xdr:nvPicPr>
      <xdr:blipFill>
        <a:blip xmlns:r="http://schemas.openxmlformats.org/officeDocument/2006/relationships" r:embed="rId27"/>
        <a:stretch>
          <a:fillRect/>
        </a:stretch>
      </xdr:blipFill>
      <xdr:spPr>
        <a:xfrm>
          <a:off x="9649557" y="114952820"/>
          <a:ext cx="3828446" cy="1819693"/>
        </a:xfrm>
        <a:prstGeom prst="rect">
          <a:avLst/>
        </a:prstGeom>
      </xdr:spPr>
    </xdr:pic>
    <xdr:clientData/>
  </xdr:twoCellAnchor>
  <xdr:twoCellAnchor editAs="oneCell">
    <xdr:from>
      <xdr:col>1</xdr:col>
      <xdr:colOff>192399</xdr:colOff>
      <xdr:row>547</xdr:row>
      <xdr:rowOff>36635</xdr:rowOff>
    </xdr:from>
    <xdr:to>
      <xdr:col>8</xdr:col>
      <xdr:colOff>289200</xdr:colOff>
      <xdr:row>561</xdr:row>
      <xdr:rowOff>147350</xdr:rowOff>
    </xdr:to>
    <xdr:pic>
      <xdr:nvPicPr>
        <xdr:cNvPr id="30" name="그림 29">
          <a:extLst>
            <a:ext uri="{FF2B5EF4-FFF2-40B4-BE49-F238E27FC236}">
              <a16:creationId xmlns:a16="http://schemas.microsoft.com/office/drawing/2014/main" id="{00000000-0008-0000-3400-00001E000000}"/>
            </a:ext>
          </a:extLst>
        </xdr:cNvPr>
        <xdr:cNvPicPr>
          <a:picLocks noChangeAspect="1"/>
        </xdr:cNvPicPr>
      </xdr:nvPicPr>
      <xdr:blipFill>
        <a:blip xmlns:r="http://schemas.openxmlformats.org/officeDocument/2006/relationships" r:embed="rId28"/>
        <a:stretch>
          <a:fillRect/>
        </a:stretch>
      </xdr:blipFill>
      <xdr:spPr>
        <a:xfrm>
          <a:off x="881130" y="117025616"/>
          <a:ext cx="4917916" cy="3188022"/>
        </a:xfrm>
        <a:prstGeom prst="rect">
          <a:avLst/>
        </a:prstGeom>
      </xdr:spPr>
    </xdr:pic>
    <xdr:clientData/>
  </xdr:twoCellAnchor>
  <xdr:twoCellAnchor editAs="oneCell">
    <xdr:from>
      <xdr:col>4</xdr:col>
      <xdr:colOff>523876</xdr:colOff>
      <xdr:row>565</xdr:row>
      <xdr:rowOff>28575</xdr:rowOff>
    </xdr:from>
    <xdr:to>
      <xdr:col>11</xdr:col>
      <xdr:colOff>161926</xdr:colOff>
      <xdr:row>571</xdr:row>
      <xdr:rowOff>180810</xdr:rowOff>
    </xdr:to>
    <xdr:pic>
      <xdr:nvPicPr>
        <xdr:cNvPr id="31" name="그림 30">
          <a:extLst>
            <a:ext uri="{FF2B5EF4-FFF2-40B4-BE49-F238E27FC236}">
              <a16:creationId xmlns:a16="http://schemas.microsoft.com/office/drawing/2014/main" id="{00000000-0008-0000-3400-00001F000000}"/>
            </a:ext>
          </a:extLst>
        </xdr:cNvPr>
        <xdr:cNvPicPr>
          <a:picLocks noChangeAspect="1"/>
        </xdr:cNvPicPr>
      </xdr:nvPicPr>
      <xdr:blipFill>
        <a:blip xmlns:r="http://schemas.openxmlformats.org/officeDocument/2006/relationships" r:embed="rId29"/>
        <a:stretch>
          <a:fillRect/>
        </a:stretch>
      </xdr:blipFill>
      <xdr:spPr>
        <a:xfrm>
          <a:off x="3267076" y="119367300"/>
          <a:ext cx="4438650" cy="1466685"/>
        </a:xfrm>
        <a:prstGeom prst="rect">
          <a:avLst/>
        </a:prstGeom>
      </xdr:spPr>
    </xdr:pic>
    <xdr:clientData/>
  </xdr:twoCellAnchor>
  <xdr:twoCellAnchor editAs="oneCell">
    <xdr:from>
      <xdr:col>2</xdr:col>
      <xdr:colOff>0</xdr:colOff>
      <xdr:row>583</xdr:row>
      <xdr:rowOff>0</xdr:rowOff>
    </xdr:from>
    <xdr:to>
      <xdr:col>11</xdr:col>
      <xdr:colOff>415089</xdr:colOff>
      <xdr:row>602</xdr:row>
      <xdr:rowOff>188128</xdr:rowOff>
    </xdr:to>
    <xdr:pic>
      <xdr:nvPicPr>
        <xdr:cNvPr id="32" name="그림 31">
          <a:extLst>
            <a:ext uri="{FF2B5EF4-FFF2-40B4-BE49-F238E27FC236}">
              <a16:creationId xmlns:a16="http://schemas.microsoft.com/office/drawing/2014/main" id="{00000000-0008-0000-3400-000020000000}"/>
            </a:ext>
          </a:extLst>
        </xdr:cNvPr>
        <xdr:cNvPicPr>
          <a:picLocks noChangeAspect="1"/>
        </xdr:cNvPicPr>
      </xdr:nvPicPr>
      <xdr:blipFill>
        <a:blip xmlns:r="http://schemas.openxmlformats.org/officeDocument/2006/relationships" r:embed="rId30"/>
        <a:stretch>
          <a:fillRect/>
        </a:stretch>
      </xdr:blipFill>
      <xdr:spPr>
        <a:xfrm>
          <a:off x="1366345" y="123260069"/>
          <a:ext cx="6563641" cy="4182059"/>
        </a:xfrm>
        <a:prstGeom prst="rect">
          <a:avLst/>
        </a:prstGeom>
      </xdr:spPr>
    </xdr:pic>
    <xdr:clientData/>
  </xdr:twoCellAnchor>
  <xdr:twoCellAnchor editAs="oneCell">
    <xdr:from>
      <xdr:col>11</xdr:col>
      <xdr:colOff>59119</xdr:colOff>
      <xdr:row>597</xdr:row>
      <xdr:rowOff>196860</xdr:rowOff>
    </xdr:from>
    <xdr:to>
      <xdr:col>16</xdr:col>
      <xdr:colOff>581535</xdr:colOff>
      <xdr:row>605</xdr:row>
      <xdr:rowOff>173413</xdr:rowOff>
    </xdr:to>
    <xdr:pic>
      <xdr:nvPicPr>
        <xdr:cNvPr id="33" name="그림 32">
          <a:extLst>
            <a:ext uri="{FF2B5EF4-FFF2-40B4-BE49-F238E27FC236}">
              <a16:creationId xmlns:a16="http://schemas.microsoft.com/office/drawing/2014/main" id="{00000000-0008-0000-3400-000021000000}"/>
            </a:ext>
          </a:extLst>
        </xdr:cNvPr>
        <xdr:cNvPicPr>
          <a:picLocks noChangeAspect="1"/>
        </xdr:cNvPicPr>
      </xdr:nvPicPr>
      <xdr:blipFill>
        <a:blip xmlns:r="http://schemas.openxmlformats.org/officeDocument/2006/relationships" r:embed="rId31"/>
        <a:stretch>
          <a:fillRect/>
        </a:stretch>
      </xdr:blipFill>
      <xdr:spPr>
        <a:xfrm>
          <a:off x="7574016" y="126399826"/>
          <a:ext cx="4312709" cy="1658209"/>
        </a:xfrm>
        <a:prstGeom prst="rect">
          <a:avLst/>
        </a:prstGeom>
      </xdr:spPr>
    </xdr:pic>
    <xdr:clientData/>
  </xdr:twoCellAnchor>
  <xdr:twoCellAnchor editAs="oneCell">
    <xdr:from>
      <xdr:col>3</xdr:col>
      <xdr:colOff>0</xdr:colOff>
      <xdr:row>606</xdr:row>
      <xdr:rowOff>0</xdr:rowOff>
    </xdr:from>
    <xdr:to>
      <xdr:col>11</xdr:col>
      <xdr:colOff>63057</xdr:colOff>
      <xdr:row>618</xdr:row>
      <xdr:rowOff>89022</xdr:rowOff>
    </xdr:to>
    <xdr:pic>
      <xdr:nvPicPr>
        <xdr:cNvPr id="34" name="그림 33">
          <a:extLst>
            <a:ext uri="{FF2B5EF4-FFF2-40B4-BE49-F238E27FC236}">
              <a16:creationId xmlns:a16="http://schemas.microsoft.com/office/drawing/2014/main" id="{00000000-0008-0000-3400-000022000000}"/>
            </a:ext>
          </a:extLst>
        </xdr:cNvPr>
        <xdr:cNvPicPr>
          <a:picLocks noChangeAspect="1"/>
        </xdr:cNvPicPr>
      </xdr:nvPicPr>
      <xdr:blipFill>
        <a:blip xmlns:r="http://schemas.openxmlformats.org/officeDocument/2006/relationships" r:embed="rId32"/>
        <a:stretch>
          <a:fillRect/>
        </a:stretch>
      </xdr:blipFill>
      <xdr:spPr>
        <a:xfrm>
          <a:off x="2066192" y="129488712"/>
          <a:ext cx="5572903" cy="2638793"/>
        </a:xfrm>
        <a:prstGeom prst="rect">
          <a:avLst/>
        </a:prstGeom>
      </xdr:spPr>
    </xdr:pic>
    <xdr:clientData/>
  </xdr:twoCellAnchor>
  <xdr:twoCellAnchor editAs="oneCell">
    <xdr:from>
      <xdr:col>8</xdr:col>
      <xdr:colOff>622788</xdr:colOff>
      <xdr:row>547</xdr:row>
      <xdr:rowOff>19460</xdr:rowOff>
    </xdr:from>
    <xdr:to>
      <xdr:col>15</xdr:col>
      <xdr:colOff>285196</xdr:colOff>
      <xdr:row>552</xdr:row>
      <xdr:rowOff>94006</xdr:rowOff>
    </xdr:to>
    <xdr:pic>
      <xdr:nvPicPr>
        <xdr:cNvPr id="36" name="그림 35">
          <a:extLst>
            <a:ext uri="{FF2B5EF4-FFF2-40B4-BE49-F238E27FC236}">
              <a16:creationId xmlns:a16="http://schemas.microsoft.com/office/drawing/2014/main" id="{00000000-0008-0000-3400-000024000000}"/>
            </a:ext>
          </a:extLst>
        </xdr:cNvPr>
        <xdr:cNvPicPr>
          <a:picLocks noChangeAspect="1"/>
        </xdr:cNvPicPr>
      </xdr:nvPicPr>
      <xdr:blipFill>
        <a:blip xmlns:r="http://schemas.openxmlformats.org/officeDocument/2006/relationships" r:embed="rId33"/>
        <a:stretch>
          <a:fillRect/>
        </a:stretch>
      </xdr:blipFill>
      <xdr:spPr>
        <a:xfrm>
          <a:off x="6132634" y="117008441"/>
          <a:ext cx="4849870" cy="1173584"/>
        </a:xfrm>
        <a:prstGeom prst="rect">
          <a:avLst/>
        </a:prstGeom>
      </xdr:spPr>
    </xdr:pic>
    <xdr:clientData/>
  </xdr:twoCellAnchor>
  <xdr:twoCellAnchor editAs="oneCell">
    <xdr:from>
      <xdr:col>1</xdr:col>
      <xdr:colOff>388327</xdr:colOff>
      <xdr:row>620</xdr:row>
      <xdr:rowOff>80595</xdr:rowOff>
    </xdr:from>
    <xdr:to>
      <xdr:col>10</xdr:col>
      <xdr:colOff>417521</xdr:colOff>
      <xdr:row>634</xdr:row>
      <xdr:rowOff>2890</xdr:rowOff>
    </xdr:to>
    <xdr:pic>
      <xdr:nvPicPr>
        <xdr:cNvPr id="37" name="그림 36">
          <a:extLst>
            <a:ext uri="{FF2B5EF4-FFF2-40B4-BE49-F238E27FC236}">
              <a16:creationId xmlns:a16="http://schemas.microsoft.com/office/drawing/2014/main" id="{00000000-0008-0000-3400-000025000000}"/>
            </a:ext>
          </a:extLst>
        </xdr:cNvPr>
        <xdr:cNvPicPr>
          <a:picLocks noChangeAspect="1"/>
        </xdr:cNvPicPr>
      </xdr:nvPicPr>
      <xdr:blipFill>
        <a:blip xmlns:r="http://schemas.openxmlformats.org/officeDocument/2006/relationships" r:embed="rId34"/>
        <a:stretch>
          <a:fillRect/>
        </a:stretch>
      </xdr:blipFill>
      <xdr:spPr>
        <a:xfrm>
          <a:off x="1077058" y="132763845"/>
          <a:ext cx="6227771" cy="2897026"/>
        </a:xfrm>
        <a:prstGeom prst="rect">
          <a:avLst/>
        </a:prstGeom>
      </xdr:spPr>
    </xdr:pic>
    <xdr:clientData/>
  </xdr:twoCellAnchor>
  <xdr:twoCellAnchor editAs="oneCell">
    <xdr:from>
      <xdr:col>10</xdr:col>
      <xdr:colOff>533399</xdr:colOff>
      <xdr:row>620</xdr:row>
      <xdr:rowOff>128405</xdr:rowOff>
    </xdr:from>
    <xdr:to>
      <xdr:col>18</xdr:col>
      <xdr:colOff>409575</xdr:colOff>
      <xdr:row>633</xdr:row>
      <xdr:rowOff>206386</xdr:rowOff>
    </xdr:to>
    <xdr:pic>
      <xdr:nvPicPr>
        <xdr:cNvPr id="39" name="그림 38">
          <a:extLst>
            <a:ext uri="{FF2B5EF4-FFF2-40B4-BE49-F238E27FC236}">
              <a16:creationId xmlns:a16="http://schemas.microsoft.com/office/drawing/2014/main" id="{00000000-0008-0000-3400-000027000000}"/>
            </a:ext>
          </a:extLst>
        </xdr:cNvPr>
        <xdr:cNvPicPr>
          <a:picLocks noChangeAspect="1"/>
        </xdr:cNvPicPr>
      </xdr:nvPicPr>
      <xdr:blipFill>
        <a:blip xmlns:r="http://schemas.openxmlformats.org/officeDocument/2006/relationships" r:embed="rId35"/>
        <a:stretch>
          <a:fillRect/>
        </a:stretch>
      </xdr:blipFill>
      <xdr:spPr>
        <a:xfrm>
          <a:off x="7391399" y="131192405"/>
          <a:ext cx="6134101" cy="2802131"/>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xdr:from>
      <xdr:col>16</xdr:col>
      <xdr:colOff>176212</xdr:colOff>
      <xdr:row>0</xdr:row>
      <xdr:rowOff>119061</xdr:rowOff>
    </xdr:from>
    <xdr:to>
      <xdr:col>32</xdr:col>
      <xdr:colOff>171450</xdr:colOff>
      <xdr:row>15</xdr:row>
      <xdr:rowOff>142874</xdr:rowOff>
    </xdr:to>
    <xdr:graphicFrame macro="">
      <xdr:nvGraphicFramePr>
        <xdr:cNvPr id="3" name="차트 2">
          <a:extLst>
            <a:ext uri="{FF2B5EF4-FFF2-40B4-BE49-F238E27FC236}">
              <a16:creationId xmlns:a16="http://schemas.microsoft.com/office/drawing/2014/main" id="{00000000-0008-0000-3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6.xml><?xml version="1.0" encoding="utf-8"?>
<xdr:wsDr xmlns:xdr="http://schemas.openxmlformats.org/drawingml/2006/spreadsheetDrawing" xmlns:a="http://schemas.openxmlformats.org/drawingml/2006/main">
  <xdr:twoCellAnchor>
    <xdr:from>
      <xdr:col>1</xdr:col>
      <xdr:colOff>22410</xdr:colOff>
      <xdr:row>30</xdr:row>
      <xdr:rowOff>202825</xdr:rowOff>
    </xdr:from>
    <xdr:to>
      <xdr:col>13</xdr:col>
      <xdr:colOff>683557</xdr:colOff>
      <xdr:row>45</xdr:row>
      <xdr:rowOff>89646</xdr:rowOff>
    </xdr:to>
    <xdr:graphicFrame macro="">
      <xdr:nvGraphicFramePr>
        <xdr:cNvPr id="2" name="차트 1">
          <a:extLst>
            <a:ext uri="{FF2B5EF4-FFF2-40B4-BE49-F238E27FC236}">
              <a16:creationId xmlns:a16="http://schemas.microsoft.com/office/drawing/2014/main" id="{00000000-0008-0000-36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47</xdr:row>
      <xdr:rowOff>0</xdr:rowOff>
    </xdr:from>
    <xdr:to>
      <xdr:col>10</xdr:col>
      <xdr:colOff>465005</xdr:colOff>
      <xdr:row>52</xdr:row>
      <xdr:rowOff>6957</xdr:rowOff>
    </xdr:to>
    <xdr:pic>
      <xdr:nvPicPr>
        <xdr:cNvPr id="3" name="그림 2">
          <a:extLst>
            <a:ext uri="{FF2B5EF4-FFF2-40B4-BE49-F238E27FC236}">
              <a16:creationId xmlns:a16="http://schemas.microsoft.com/office/drawing/2014/main" id="{00000000-0008-0000-3600-000003000000}"/>
            </a:ext>
          </a:extLst>
        </xdr:cNvPr>
        <xdr:cNvPicPr>
          <a:picLocks noChangeAspect="1"/>
        </xdr:cNvPicPr>
      </xdr:nvPicPr>
      <xdr:blipFill>
        <a:blip xmlns:r="http://schemas.openxmlformats.org/officeDocument/2006/relationships" r:embed="rId2"/>
        <a:stretch>
          <a:fillRect/>
        </a:stretch>
      </xdr:blipFill>
      <xdr:spPr>
        <a:xfrm>
          <a:off x="884464" y="9865179"/>
          <a:ext cx="7182852" cy="1095528"/>
        </a:xfrm>
        <a:prstGeom prst="rect">
          <a:avLst/>
        </a:prstGeom>
      </xdr:spPr>
    </xdr:pic>
    <xdr:clientData/>
  </xdr:twoCellAnchor>
  <xdr:twoCellAnchor>
    <xdr:from>
      <xdr:col>1</xdr:col>
      <xdr:colOff>27215</xdr:colOff>
      <xdr:row>55</xdr:row>
      <xdr:rowOff>104775</xdr:rowOff>
    </xdr:from>
    <xdr:to>
      <xdr:col>20</xdr:col>
      <xdr:colOff>421821</xdr:colOff>
      <xdr:row>71</xdr:row>
      <xdr:rowOff>136072</xdr:rowOff>
    </xdr:to>
    <xdr:graphicFrame macro="">
      <xdr:nvGraphicFramePr>
        <xdr:cNvPr id="4" name="차트 3">
          <a:extLst>
            <a:ext uri="{FF2B5EF4-FFF2-40B4-BE49-F238E27FC236}">
              <a16:creationId xmlns:a16="http://schemas.microsoft.com/office/drawing/2014/main" id="{00000000-0008-0000-36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xdr:col>
      <xdr:colOff>0</xdr:colOff>
      <xdr:row>75</xdr:row>
      <xdr:rowOff>0</xdr:rowOff>
    </xdr:from>
    <xdr:to>
      <xdr:col>11</xdr:col>
      <xdr:colOff>165714</xdr:colOff>
      <xdr:row>97</xdr:row>
      <xdr:rowOff>208209</xdr:rowOff>
    </xdr:to>
    <xdr:pic>
      <xdr:nvPicPr>
        <xdr:cNvPr id="5" name="그림 4">
          <a:extLst>
            <a:ext uri="{FF2B5EF4-FFF2-40B4-BE49-F238E27FC236}">
              <a16:creationId xmlns:a16="http://schemas.microsoft.com/office/drawing/2014/main" id="{00000000-0008-0000-3600-000005000000}"/>
            </a:ext>
          </a:extLst>
        </xdr:cNvPr>
        <xdr:cNvPicPr>
          <a:picLocks noChangeAspect="1"/>
        </xdr:cNvPicPr>
      </xdr:nvPicPr>
      <xdr:blipFill>
        <a:blip xmlns:r="http://schemas.openxmlformats.org/officeDocument/2006/relationships" r:embed="rId4"/>
        <a:stretch>
          <a:fillRect/>
        </a:stretch>
      </xdr:blipFill>
      <xdr:spPr>
        <a:xfrm>
          <a:off x="884464" y="15648214"/>
          <a:ext cx="7649643" cy="4734586"/>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xdr:from>
      <xdr:col>15</xdr:col>
      <xdr:colOff>263336</xdr:colOff>
      <xdr:row>3</xdr:row>
      <xdr:rowOff>134471</xdr:rowOff>
    </xdr:from>
    <xdr:to>
      <xdr:col>26</xdr:col>
      <xdr:colOff>291352</xdr:colOff>
      <xdr:row>16</xdr:row>
      <xdr:rowOff>144556</xdr:rowOff>
    </xdr:to>
    <xdr:graphicFrame macro="">
      <xdr:nvGraphicFramePr>
        <xdr:cNvPr id="2" name="차트 1">
          <a:extLst>
            <a:ext uri="{FF2B5EF4-FFF2-40B4-BE49-F238E27FC236}">
              <a16:creationId xmlns:a16="http://schemas.microsoft.com/office/drawing/2014/main" id="{00000000-0008-0000-3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347381</xdr:colOff>
      <xdr:row>17</xdr:row>
      <xdr:rowOff>89648</xdr:rowOff>
    </xdr:from>
    <xdr:to>
      <xdr:col>27</xdr:col>
      <xdr:colOff>67236</xdr:colOff>
      <xdr:row>29</xdr:row>
      <xdr:rowOff>11553</xdr:rowOff>
    </xdr:to>
    <xdr:pic>
      <xdr:nvPicPr>
        <xdr:cNvPr id="3" name="그림 2">
          <a:extLst>
            <a:ext uri="{FF2B5EF4-FFF2-40B4-BE49-F238E27FC236}">
              <a16:creationId xmlns:a16="http://schemas.microsoft.com/office/drawing/2014/main" id="{00000000-0008-0000-3700-000003000000}"/>
            </a:ext>
          </a:extLst>
        </xdr:cNvPr>
        <xdr:cNvPicPr>
          <a:picLocks noChangeAspect="1"/>
        </xdr:cNvPicPr>
      </xdr:nvPicPr>
      <xdr:blipFill>
        <a:blip xmlns:r="http://schemas.openxmlformats.org/officeDocument/2006/relationships" r:embed="rId2"/>
        <a:stretch>
          <a:fillRect/>
        </a:stretch>
      </xdr:blipFill>
      <xdr:spPr>
        <a:xfrm>
          <a:off x="10085293" y="3709148"/>
          <a:ext cx="8606119" cy="2476846"/>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xdr:from>
      <xdr:col>13</xdr:col>
      <xdr:colOff>133350</xdr:colOff>
      <xdr:row>3</xdr:row>
      <xdr:rowOff>161925</xdr:rowOff>
    </xdr:from>
    <xdr:to>
      <xdr:col>20</xdr:col>
      <xdr:colOff>476250</xdr:colOff>
      <xdr:row>16</xdr:row>
      <xdr:rowOff>28575</xdr:rowOff>
    </xdr:to>
    <xdr:graphicFrame macro="">
      <xdr:nvGraphicFramePr>
        <xdr:cNvPr id="2" name="차트 1">
          <a:extLst>
            <a:ext uri="{FF2B5EF4-FFF2-40B4-BE49-F238E27FC236}">
              <a16:creationId xmlns:a16="http://schemas.microsoft.com/office/drawing/2014/main" id="{00000000-0008-0000-38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18</xdr:row>
      <xdr:rowOff>0</xdr:rowOff>
    </xdr:from>
    <xdr:to>
      <xdr:col>0</xdr:col>
      <xdr:colOff>304800</xdr:colOff>
      <xdr:row>19</xdr:row>
      <xdr:rowOff>95251</xdr:rowOff>
    </xdr:to>
    <xdr:sp macro="" textlink="">
      <xdr:nvSpPr>
        <xdr:cNvPr id="62465" name="AutoShape 1" descr="data:image/png;base64,iVBORw0KGgoAAAANSUhEUgAAAHwAAAAnCAYAAADNVyyKAAAAAXNSR0IArs4c6QAADKBJREFUeF7tm3lYVdXawH/nMMisICAioOJMiZbmkCWOKWpqZZ+S9jl8CSKgoKCiIjgBEYqUs5KKA2bhvRoZXvPac01TSpRKjNQUmRMBkeGcwzl73wfTm8LhCHjOfT4e2H/v/e613t96x7WWRBRFkZan2WhA0gK82bB+ONEW4M2LdwvwZsa7BXgL8OamgWY235YY3gK8mWmgmU23xcJbgDczDehwumJlEVkFCiwdbTHXk+rsT6KgovSPbMoMbLFva4xEw580WHgVJblZ5BaWohDqP1apmT09O9tgqKfpt/WX15TfVKYfJig2i0lRCxjWupXOpqKUFXNqywou2PuwyuMF9BoFXCwlLXErMXu+JuOeDBEjbHu44GReU5yIoKqivLiAnNx7KFxmcyBqBk4WupugzjSnZcGKc5EMm3cNv9Pb8LA10bL0v8RVleezx9edpG6fkLj8NQwaBRyR8hvJfLQ8hM1fXqFIYcEgr/WsnN4f21ZPWq+ISvaA3N8ukpRwkC/L3Dl+PIxBNqY6m2BTEdzEgFerVUnud7tYGhjOkR9ywP4N1u3Zjs/ITpjU8thV5J6JwTMiD5/4NbjbmTcVLjobZ32Ai0oZpSXF3H9QiUpigHHrtthamtCQiK8lC3+kh2rXfmA1Pit2cD5bjtOIAD7evJzxPdvUjhXydGK992K/bgXv2rfWmSKbimBNwAVFGQW3rnHlcippV2+QVVCMQmqMVYeuvOjqykv9+tPLwVxjPH6sB+0Cr5YqyyTpQ398o46Rgw2vz4lgQ8h0+tq2qpERyvh+6y4K35nNm+3MmgoXnY2zLuAqWQk3U05w4NNPOZJ8kZt/lKF6aNMiIlJM2/fGfdoc5s6ZxjAXGwyfkf9qHzgg3LvIxwu9WPPZL1TZ9GX6ymhCZrnR4SnfLlJy8zfu23Who6m+zhTZVASrBa6qJPvyl2xavY69pzJQWnfBtW8fejhZYySWU3ArnZTvfySnqi2D3lvG+hAvXu9oorHU0gnw6tX34NrnBM9bzO5zhVj3mUhg+FrmjOqOhaY6oKnQ0cE4awMXkd3NIDHKh6BPziJ3HMBbMz2Z+fYoXuraDhPKyE5PIfnwFqK3JpFl2I0py7exYcEwbDXYj46AgygquP5VFIsWf8TJLENcx3uzOmwBY16w1lgK6ECXTUJkLeCCnOzUQwS+58MX+XaMmbuS9Uveo087o6csWCi+QsysSSz76h7Ow+eyIS6KCU51F1s6A/4wb6/I5czOlSyNOMQ1aW9mr4hilddw7DQVf00Cj/YHWRO4KC/hSoI/b3nGU9LVnSURsSye1JXaHQuR6/vfw232ESq7DCMg5gArx7WvM3PXKXBEFcU3z7DBx5N9BX3xCQvDc4IrVi0hu9aKqQlc+SCff6yZyNvRP9Kq08uMnfg2AzsaqV1pZbe/ZvvWbyi06cvMVbvY7N1fzcL481OdAherysk4tZ2Ij09i4r6IoFmjcG7dQlsdtZrA5SV3OOTnxtwDtxENWmFiYoJBHQV3dfgsu1+OYNmTd4M+YefSUVjUka3rDrgoUpR+lMhVW7jZ+X2CF0+jX3vNzXrtO8qmI7EmcFnRbfZ4DsY38S4mNo507eGMlaHm+UjNHXl9ig8BM16hrlaWzoCrilLZsjSIY2VuBIb5MbqHJepsW1lZiWBszH/molJRVaVAMDSmVUNaSOp0IVZw8+J5iu0G0a+TmcZypeFLQ+CPq2dJvVPBs85uS0w7Mfi1XrTWMJ9aFl6cyX7foXgl5OM48C28F/nh5qi5xJHoG2HVvhOdO7R5pGsReaUMqaEhBnp/fqsb4FXZJK31IfysNR+Er8FjUAeM1bkY4R7fxJ3EZpYHfQwkKCvukfaPRL4vsGbY9Ld40ex5dtFESi7txH/JQcxn72XTDOd6daLqD76Ks+HvsCgxh2dtEOo5TiPu8yB6a0hWa8fwPE6sGs+U2J+wHujB6g2xfPCqVf0XrfCAG+dPcOR7JeOnj6e3fZuHiZz2gYsPSItfjnfMr7wRFov/BBfa1BG2lZlf4LkkA/8DK3A1ECnNTWOr72xOtnqHsK0rcLNsLHAV99IS+XBFKNtPZTMk/AJJizVvBdYf9OM3BW6eiuPvV0oeAZeTfeVbkr66jNmQibi/6kLbR25LatkPjzkjsG+AhYvyYi7tm8/k+Z9RaDcY77BoQuYMxkqNjLLrpzj6XSFWnbvRy8UFZ1sTJPJ04kOWE3HOkZi4EEb3tH244LUMXEnumVj8liViPjOKiNlDaK/WtEGszCQpwo/gjDc5mzAXS6lIceYF1k2dzLcOvmzctbJRwMXKfFJPJrBj+16OncugSG7AqAhdAAelrIyKxwcAxFIuJcYSEnKEtnMjWe01DmfTRwtWaoipmZFGD1O7DpdxJyUefw8//p5jSp9Jvqxb48+YXlZPh8aqLBL8PQhNLqTtC0OZsyScD16zRlKZwsZ5AUSnvcjuw2sZo33gImW//o1V/qEkKd0ImDeBrq1rxxxRpaCsMItfLpzi2LEzyN9O4HLsGITSVPaH72DvoUPcshiI+9RpvDNuFEP7OmCoVKGq85aTBD19A/T1pUiEIr6LiyByWyLX9F/GY0AJm3ddZHCjLVxEEKp71hKkUolmdyqWcDHhI4KWHMRm/iY+XDCJrg0ISeo6bZV30zkS7k3g5nOUWXRmyORZzPeawei+TpgbCpTeucTxXdFEbjtGeqkxLmN8idkWykjj23ybHM/G6P2cLWjHpHdH8sqY2Xi7d0OsKNDGfjio7qawLWQZkQfPUWLqQEdrdRm5iCgIVMnLKSm8S1GZlBEbLnHSvydleZ/hOzKIpNt5VOi1xrb7UOYEBTLZ+mfi9hzjar5cvdfVt2XA5Fl4e47BSZLHiU2xJBfaMmL8WPrlRvPSjM95pbHARRm/nzvB6RsiA8aMw1VTlaF14CCqKslJPU50yEp2n7qFytyWjs5d6ORoi4W+gqKCbG5l/MrtIhWW3UezODoWv7FdMc78J5ui1rIh4SJ3Fa2wbWeNy8wdJIUOR1qpDeBiEf/aspzAyP2k5lagelba+hidXkc8j55n+0R7BEU+l5KT2LR8Cak2U1i4ypexLg7Iz29lWdQ+LmVVqs2GJYYODJ+1mNDl79JFT0FxfgHlUnNsrFsjnpiLw5TPGg8cFffTTxAbe5j8Hh4Ezn4DZ8s6aiMdAK9Wk0peyq0fvyZ+xxb2J6WQWaJAqqePFAGlUgV6ZnRzm4bvIj+mDn8RWxMpYmUxWdeT2bgskoM3nAle44nbgEG85GyJSjsnXqoozvqdzPwSZPWmXX1bzQi7ni/QqXV1+qouhoOsOJesvHuU13VYTmKIhbUdHeyteOpwTfVO7ZcfPCdwEOUFnN0Tybp9qThODSZ0zggcLQxru3cdAa+GLijKKSq4w29X07h8+Wdu5BRRKRpgYe1Ez5cH0N/FGScne9o8WcfqPoY3PM99+gvtJG1PytQGcBCozPuBuLCVbD59l97TVxAZOIku5jUsXYfA/5yTiKpKTkV5OTK5EgEJetUdODNzTAzVpO5NE7hAZvIWVm89ws+51Ycjaz8SAzte/Z95BCyYQKcaOaJa4GIlBb9nkJ6RRZmqnotUUFCc8Q27dh7lp2IjXMZ6ER4ZyHDHJ6DrHHg9x/r4taYK/PoXa/Bbu5uUOjpaEkNHRs0NZn2YB91q1PtqgQtF/HT6GEePXyBPUX8lirIcfvjnea7m3EdiM4DgwycIG275l4AW4PVX5mOXpa4OV1aUUFxajlxZRyYo0cPI1II2bUxrtW7Vu3QBhayCigp5/ZNL8T6X969nSfQRbrcdT1h0KO8P7YGl0ROutAV4Y4CnEO7xJqftfNi4O4Rh6tpKDRCrrRh+92I8wUsj+JfBONZGBDC+jwNmNbeu/r8Bl/1AjFcAH13pxc7D6xjbq91Dg9Byp60BNGq9KlKanUbMrFHsvDeI930W4jHCle6d26nvw9fjV9oALpb+Qvy6MD7NcGZh2ELcXe0xVndT5jmBq258xYfxeYwM+l8G1kwI6zHXWq9U/cIOv4WsPVrKxOD5jH9tNGP7O4CilHMHN3LFdjo+E7o18uZJYwak5htlaTbfbPbm/9Ymc1evO1NXrWd1wGScG3lC5vmBK8k6s4eYL37DdZoPU4d0xFhaR3//OYFXHxapUoro6etT1y8apGaxnMv7VuITGselPAVmYzdy42/zsNSTICiVCBJ99J9xxeu/cHu0uhMnIjxqo0qkUqSSxm6gVFcyAipBRCKRPmyNNuoRq8cDEomEZw6l+l1BgOcdd6MGWvsjURQe6vNh9iORotdAHfwbnXUy9Q7I9GYAAAAASUVORK5CYII=">
          <a:extLst>
            <a:ext uri="{FF2B5EF4-FFF2-40B4-BE49-F238E27FC236}">
              <a16:creationId xmlns:a16="http://schemas.microsoft.com/office/drawing/2014/main" id="{00000000-0008-0000-3800-000001F40000}"/>
            </a:ext>
          </a:extLst>
        </xdr:cNvPr>
        <xdr:cNvSpPr>
          <a:spLocks noChangeAspect="1" noChangeArrowheads="1"/>
        </xdr:cNvSpPr>
      </xdr:nvSpPr>
      <xdr:spPr bwMode="auto">
        <a:xfrm>
          <a:off x="0" y="3562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6</xdr:col>
      <xdr:colOff>149086</xdr:colOff>
      <xdr:row>23</xdr:row>
      <xdr:rowOff>81997</xdr:rowOff>
    </xdr:from>
    <xdr:to>
      <xdr:col>10</xdr:col>
      <xdr:colOff>1051891</xdr:colOff>
      <xdr:row>35</xdr:row>
      <xdr:rowOff>198783</xdr:rowOff>
    </xdr:to>
    <xdr:graphicFrame macro="">
      <xdr:nvGraphicFramePr>
        <xdr:cNvPr id="3" name="차트 2">
          <a:extLst>
            <a:ext uri="{FF2B5EF4-FFF2-40B4-BE49-F238E27FC236}">
              <a16:creationId xmlns:a16="http://schemas.microsoft.com/office/drawing/2014/main" id="{00000000-0008-0000-38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58616</xdr:colOff>
      <xdr:row>55</xdr:row>
      <xdr:rowOff>95249</xdr:rowOff>
    </xdr:from>
    <xdr:to>
      <xdr:col>6</xdr:col>
      <xdr:colOff>729488</xdr:colOff>
      <xdr:row>60</xdr:row>
      <xdr:rowOff>166478</xdr:rowOff>
    </xdr:to>
    <xdr:pic>
      <xdr:nvPicPr>
        <xdr:cNvPr id="4" name="그림 3">
          <a:extLst>
            <a:ext uri="{FF2B5EF4-FFF2-40B4-BE49-F238E27FC236}">
              <a16:creationId xmlns:a16="http://schemas.microsoft.com/office/drawing/2014/main" id="{00000000-0008-0000-3800-000004000000}"/>
            </a:ext>
          </a:extLst>
        </xdr:cNvPr>
        <xdr:cNvPicPr>
          <a:picLocks noChangeAspect="1"/>
        </xdr:cNvPicPr>
      </xdr:nvPicPr>
      <xdr:blipFill>
        <a:blip xmlns:r="http://schemas.openxmlformats.org/officeDocument/2006/relationships" r:embed="rId3"/>
        <a:stretch>
          <a:fillRect/>
        </a:stretch>
      </xdr:blipFill>
      <xdr:spPr>
        <a:xfrm>
          <a:off x="3458308" y="12082095"/>
          <a:ext cx="3286584" cy="1133633"/>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1</xdr:col>
      <xdr:colOff>0</xdr:colOff>
      <xdr:row>23</xdr:row>
      <xdr:rowOff>0</xdr:rowOff>
    </xdr:from>
    <xdr:to>
      <xdr:col>3</xdr:col>
      <xdr:colOff>314560</xdr:colOff>
      <xdr:row>40</xdr:row>
      <xdr:rowOff>10024</xdr:rowOff>
    </xdr:to>
    <xdr:pic>
      <xdr:nvPicPr>
        <xdr:cNvPr id="2" name="그림 1">
          <a:extLst>
            <a:ext uri="{FF2B5EF4-FFF2-40B4-BE49-F238E27FC236}">
              <a16:creationId xmlns:a16="http://schemas.microsoft.com/office/drawing/2014/main" id="{00000000-0008-0000-3900-000002000000}"/>
            </a:ext>
          </a:extLst>
        </xdr:cNvPr>
        <xdr:cNvPicPr>
          <a:picLocks noChangeAspect="1"/>
        </xdr:cNvPicPr>
      </xdr:nvPicPr>
      <xdr:blipFill>
        <a:blip xmlns:r="http://schemas.openxmlformats.org/officeDocument/2006/relationships" r:embed="rId1"/>
        <a:stretch>
          <a:fillRect/>
        </a:stretch>
      </xdr:blipFill>
      <xdr:spPr>
        <a:xfrm>
          <a:off x="685800" y="4819650"/>
          <a:ext cx="1686160" cy="3572374"/>
        </a:xfrm>
        <a:prstGeom prst="rect">
          <a:avLst/>
        </a:prstGeom>
      </xdr:spPr>
    </xdr:pic>
    <xdr:clientData/>
  </xdr:twoCellAnchor>
  <xdr:twoCellAnchor editAs="oneCell">
    <xdr:from>
      <xdr:col>0</xdr:col>
      <xdr:colOff>466725</xdr:colOff>
      <xdr:row>47</xdr:row>
      <xdr:rowOff>180975</xdr:rowOff>
    </xdr:from>
    <xdr:to>
      <xdr:col>4</xdr:col>
      <xdr:colOff>409950</xdr:colOff>
      <xdr:row>64</xdr:row>
      <xdr:rowOff>38577</xdr:rowOff>
    </xdr:to>
    <xdr:pic>
      <xdr:nvPicPr>
        <xdr:cNvPr id="3" name="그림 2">
          <a:extLst>
            <a:ext uri="{FF2B5EF4-FFF2-40B4-BE49-F238E27FC236}">
              <a16:creationId xmlns:a16="http://schemas.microsoft.com/office/drawing/2014/main" id="{00000000-0008-0000-3900-000003000000}"/>
            </a:ext>
          </a:extLst>
        </xdr:cNvPr>
        <xdr:cNvPicPr>
          <a:picLocks noChangeAspect="1"/>
        </xdr:cNvPicPr>
      </xdr:nvPicPr>
      <xdr:blipFill>
        <a:blip xmlns:r="http://schemas.openxmlformats.org/officeDocument/2006/relationships" r:embed="rId2"/>
        <a:stretch>
          <a:fillRect/>
        </a:stretch>
      </xdr:blipFill>
      <xdr:spPr>
        <a:xfrm>
          <a:off x="466725" y="10029825"/>
          <a:ext cx="2686425" cy="3419952"/>
        </a:xfrm>
        <a:prstGeom prst="rect">
          <a:avLst/>
        </a:prstGeom>
      </xdr:spPr>
    </xdr:pic>
    <xdr:clientData/>
  </xdr:twoCellAnchor>
  <xdr:oneCellAnchor>
    <xdr:from>
      <xdr:col>10</xdr:col>
      <xdr:colOff>208084</xdr:colOff>
      <xdr:row>47</xdr:row>
      <xdr:rowOff>182074</xdr:rowOff>
    </xdr:from>
    <xdr:ext cx="222112" cy="250453"/>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00000000-0008-0000-3900-000004000000}"/>
                </a:ext>
              </a:extLst>
            </xdr:cNvPr>
            <xdr:cNvSpPr txBox="1"/>
          </xdr:nvSpPr>
          <xdr:spPr>
            <a:xfrm>
              <a:off x="7095392" y="10168670"/>
              <a:ext cx="222112" cy="250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600" i="1">
                        <a:latin typeface="Cambria Math" panose="02040503050406030204" pitchFamily="18" charset="0"/>
                      </a:rPr>
                      <m:t>⋯</m:t>
                    </m:r>
                  </m:oMath>
                </m:oMathPara>
              </a14:m>
              <a:endParaRPr lang="ko-KR" altLang="en-US" sz="1600"/>
            </a:p>
          </xdr:txBody>
        </xdr:sp>
      </mc:Choice>
      <mc:Fallback xmlns="">
        <xdr:sp macro="" textlink="">
          <xdr:nvSpPr>
            <xdr:cNvPr id="4" name="TextBox 3"/>
            <xdr:cNvSpPr txBox="1"/>
          </xdr:nvSpPr>
          <xdr:spPr>
            <a:xfrm>
              <a:off x="7095392" y="10168670"/>
              <a:ext cx="222112" cy="250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600" i="0">
                  <a:latin typeface="Cambria Math" panose="02040503050406030204" pitchFamily="18" charset="0"/>
                </a:rPr>
                <a:t>⋯</a:t>
              </a:r>
              <a:endParaRPr lang="ko-KR" altLang="en-US" sz="1600"/>
            </a:p>
          </xdr:txBody>
        </xdr:sp>
      </mc:Fallback>
    </mc:AlternateContent>
    <xdr:clientData/>
  </xdr:oneCellAnchor>
  <xdr:oneCellAnchor>
    <xdr:from>
      <xdr:col>5</xdr:col>
      <xdr:colOff>275492</xdr:colOff>
      <xdr:row>51</xdr:row>
      <xdr:rowOff>131885</xdr:rowOff>
    </xdr:from>
    <xdr:ext cx="46892" cy="313099"/>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3900-000005000000}"/>
                </a:ext>
              </a:extLst>
            </xdr:cNvPr>
            <xdr:cNvSpPr txBox="1"/>
          </xdr:nvSpPr>
          <xdr:spPr>
            <a:xfrm>
              <a:off x="3719146" y="10968404"/>
              <a:ext cx="46892"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2000" i="1">
                        <a:latin typeface="Cambria Math" panose="02040503050406030204" pitchFamily="18" charset="0"/>
                      </a:rPr>
                      <m:t>⋮</m:t>
                    </m:r>
                  </m:oMath>
                </m:oMathPara>
              </a14:m>
              <a:endParaRPr lang="ko-KR" altLang="en-US" sz="2000"/>
            </a:p>
          </xdr:txBody>
        </xdr:sp>
      </mc:Choice>
      <mc:Fallback xmlns="">
        <xdr:sp macro="" textlink="">
          <xdr:nvSpPr>
            <xdr:cNvPr id="5" name="TextBox 4"/>
            <xdr:cNvSpPr txBox="1"/>
          </xdr:nvSpPr>
          <xdr:spPr>
            <a:xfrm>
              <a:off x="3719146" y="10968404"/>
              <a:ext cx="46892"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ko-KR" altLang="en-US" sz="2000" i="0">
                  <a:latin typeface="Cambria Math" panose="02040503050406030204" pitchFamily="18" charset="0"/>
                </a:rPr>
                <a:t>⋮</a:t>
              </a:r>
              <a:endParaRPr lang="ko-KR" altLang="en-US" sz="2000"/>
            </a:p>
          </xdr:txBody>
        </xdr:sp>
      </mc:Fallback>
    </mc:AlternateContent>
    <xdr:clientData/>
  </xdr:oneCellAnchor>
  <xdr:twoCellAnchor>
    <xdr:from>
      <xdr:col>14</xdr:col>
      <xdr:colOff>13138</xdr:colOff>
      <xdr:row>48</xdr:row>
      <xdr:rowOff>168520</xdr:rowOff>
    </xdr:from>
    <xdr:to>
      <xdr:col>15</xdr:col>
      <xdr:colOff>21980</xdr:colOff>
      <xdr:row>49</xdr:row>
      <xdr:rowOff>157655</xdr:rowOff>
    </xdr:to>
    <xdr:cxnSp macro="">
      <xdr:nvCxnSpPr>
        <xdr:cNvPr id="7" name="구부러진 연결선 6">
          <a:extLst>
            <a:ext uri="{FF2B5EF4-FFF2-40B4-BE49-F238E27FC236}">
              <a16:creationId xmlns:a16="http://schemas.microsoft.com/office/drawing/2014/main" id="{00000000-0008-0000-3900-000007000000}"/>
            </a:ext>
          </a:extLst>
        </xdr:cNvPr>
        <xdr:cNvCxnSpPr/>
      </xdr:nvCxnSpPr>
      <xdr:spPr>
        <a:xfrm flipV="1">
          <a:off x="9577552" y="10258451"/>
          <a:ext cx="692014" cy="199342"/>
        </a:xfrm>
        <a:prstGeom prst="curvedConnector3">
          <a:avLst/>
        </a:prstGeom>
        <a:ln w="19050">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1</xdr:col>
      <xdr:colOff>304800</xdr:colOff>
      <xdr:row>7</xdr:row>
      <xdr:rowOff>66674</xdr:rowOff>
    </xdr:to>
    <xdr:sp macro="" textlink="">
      <xdr:nvSpPr>
        <xdr:cNvPr id="7169" name="AutoShape 1" descr="{\displaystyle e}">
          <a:extLst>
            <a:ext uri="{FF2B5EF4-FFF2-40B4-BE49-F238E27FC236}">
              <a16:creationId xmlns:a16="http://schemas.microsoft.com/office/drawing/2014/main" id="{00000000-0008-0000-0600-0000011C0000}"/>
            </a:ext>
          </a:extLst>
        </xdr:cNvPr>
        <xdr:cNvSpPr>
          <a:spLocks noChangeAspect="1" noChangeArrowheads="1"/>
        </xdr:cNvSpPr>
      </xdr:nvSpPr>
      <xdr:spPr bwMode="auto">
        <a:xfrm>
          <a:off x="685800" y="838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50.xml><?xml version="1.0" encoding="utf-8"?>
<xdr:wsDr xmlns:xdr="http://schemas.openxmlformats.org/drawingml/2006/spreadsheetDrawing" xmlns:a="http://schemas.openxmlformats.org/drawingml/2006/main">
  <xdr:oneCellAnchor>
    <xdr:from>
      <xdr:col>4</xdr:col>
      <xdr:colOff>338817</xdr:colOff>
      <xdr:row>33</xdr:row>
      <xdr:rowOff>168727</xdr:rowOff>
    </xdr:from>
    <xdr:ext cx="249877" cy="28180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00000000-0008-0000-3A00-000002000000}"/>
                </a:ext>
              </a:extLst>
            </xdr:cNvPr>
            <xdr:cNvSpPr txBox="1"/>
          </xdr:nvSpPr>
          <xdr:spPr>
            <a:xfrm>
              <a:off x="3277960" y="6904263"/>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2" name="TextBox 1"/>
            <xdr:cNvSpPr txBox="1"/>
          </xdr:nvSpPr>
          <xdr:spPr>
            <a:xfrm>
              <a:off x="3277960" y="6904263"/>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800" i="0">
                  <a:latin typeface="Cambria Math" panose="02040503050406030204" pitchFamily="18" charset="0"/>
                </a:rPr>
                <a:t>⋯</a:t>
              </a:r>
              <a:endParaRPr lang="ko-KR" altLang="en-US" sz="1800"/>
            </a:p>
          </xdr:txBody>
        </xdr:sp>
      </mc:Fallback>
    </mc:AlternateContent>
    <xdr:clientData/>
  </xdr:oneCellAnchor>
  <xdr:oneCellAnchor>
    <xdr:from>
      <xdr:col>17</xdr:col>
      <xdr:colOff>195943</xdr:colOff>
      <xdr:row>37</xdr:row>
      <xdr:rowOff>34017</xdr:rowOff>
    </xdr:from>
    <xdr:ext cx="220253" cy="500971"/>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3A00-000005000000}"/>
                </a:ext>
              </a:extLst>
            </xdr:cNvPr>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200" i="1">
                        <a:latin typeface="Cambria Math" panose="02040503050406030204" pitchFamily="18" charset="0"/>
                      </a:rPr>
                      <m:t>⋮</m:t>
                    </m:r>
                  </m:oMath>
                </m:oMathPara>
              </a14:m>
              <a:endParaRPr lang="ko-KR" altLang="en-US" sz="3200"/>
            </a:p>
          </xdr:txBody>
        </xdr:sp>
      </mc:Choice>
      <mc:Fallback xmlns="">
        <xdr:sp macro="" textlink="">
          <xdr:nvSpPr>
            <xdr:cNvPr id="5" name="TextBox 4"/>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3200" i="0">
                  <a:latin typeface="Cambria Math" panose="02040503050406030204" pitchFamily="18" charset="0"/>
                </a:rPr>
                <a:t>⋮</a:t>
              </a:r>
              <a:endParaRPr lang="ko-KR" altLang="en-US" sz="3200"/>
            </a:p>
          </xdr:txBody>
        </xdr:sp>
      </mc:Fallback>
    </mc:AlternateContent>
    <xdr:clientData/>
  </xdr:oneCellAnchor>
  <xdr:oneCellAnchor>
    <xdr:from>
      <xdr:col>20</xdr:col>
      <xdr:colOff>311605</xdr:colOff>
      <xdr:row>20</xdr:row>
      <xdr:rowOff>141514</xdr:rowOff>
    </xdr:from>
    <xdr:ext cx="220253" cy="50097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3A00-000007000000}"/>
                </a:ext>
              </a:extLst>
            </xdr:cNvPr>
            <xdr:cNvSpPr txBox="1"/>
          </xdr:nvSpPr>
          <xdr:spPr>
            <a:xfrm>
              <a:off x="14326962" y="422365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200" i="1">
                        <a:latin typeface="Cambria Math" panose="02040503050406030204" pitchFamily="18" charset="0"/>
                      </a:rPr>
                      <m:t>⋮</m:t>
                    </m:r>
                  </m:oMath>
                </m:oMathPara>
              </a14:m>
              <a:endParaRPr lang="ko-KR" altLang="en-US" sz="3200"/>
            </a:p>
          </xdr:txBody>
        </xdr:sp>
      </mc:Choice>
      <mc:Fallback xmlns="">
        <xdr:sp macro="" textlink="">
          <xdr:nvSpPr>
            <xdr:cNvPr id="7" name="TextBox 6"/>
            <xdr:cNvSpPr txBox="1"/>
          </xdr:nvSpPr>
          <xdr:spPr>
            <a:xfrm>
              <a:off x="14326962" y="422365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3200" i="0">
                  <a:latin typeface="Cambria Math" panose="02040503050406030204" pitchFamily="18" charset="0"/>
                </a:rPr>
                <a:t>⋮</a:t>
              </a:r>
              <a:endParaRPr lang="ko-KR" altLang="en-US" sz="3200"/>
            </a:p>
          </xdr:txBody>
        </xdr:sp>
      </mc:Fallback>
    </mc:AlternateContent>
    <xdr:clientData/>
  </xdr:oneCellAnchor>
  <xdr:twoCellAnchor>
    <xdr:from>
      <xdr:col>17</xdr:col>
      <xdr:colOff>114300</xdr:colOff>
      <xdr:row>33</xdr:row>
      <xdr:rowOff>171450</xdr:rowOff>
    </xdr:from>
    <xdr:to>
      <xdr:col>17</xdr:col>
      <xdr:colOff>342900</xdr:colOff>
      <xdr:row>35</xdr:row>
      <xdr:rowOff>19050</xdr:rowOff>
    </xdr:to>
    <xdr:sp macro="" textlink="">
      <xdr:nvSpPr>
        <xdr:cNvPr id="15" name="타원 14">
          <a:extLst>
            <a:ext uri="{FF2B5EF4-FFF2-40B4-BE49-F238E27FC236}">
              <a16:creationId xmlns:a16="http://schemas.microsoft.com/office/drawing/2014/main" id="{00000000-0008-0000-3A00-00000F000000}"/>
            </a:ext>
          </a:extLst>
        </xdr:cNvPr>
        <xdr:cNvSpPr/>
      </xdr:nvSpPr>
      <xdr:spPr>
        <a:xfrm>
          <a:off x="12449175" y="708660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17</xdr:col>
      <xdr:colOff>123825</xdr:colOff>
      <xdr:row>35</xdr:row>
      <xdr:rowOff>76200</xdr:rowOff>
    </xdr:from>
    <xdr:to>
      <xdr:col>17</xdr:col>
      <xdr:colOff>352425</xdr:colOff>
      <xdr:row>36</xdr:row>
      <xdr:rowOff>133350</xdr:rowOff>
    </xdr:to>
    <xdr:sp macro="" textlink="">
      <xdr:nvSpPr>
        <xdr:cNvPr id="16" name="타원 15">
          <a:extLst>
            <a:ext uri="{FF2B5EF4-FFF2-40B4-BE49-F238E27FC236}">
              <a16:creationId xmlns:a16="http://schemas.microsoft.com/office/drawing/2014/main" id="{00000000-0008-0000-3A00-000010000000}"/>
            </a:ext>
          </a:extLst>
        </xdr:cNvPr>
        <xdr:cNvSpPr/>
      </xdr:nvSpPr>
      <xdr:spPr>
        <a:xfrm>
          <a:off x="12458700" y="741045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819150</xdr:colOff>
      <xdr:row>44</xdr:row>
      <xdr:rowOff>200025</xdr:rowOff>
    </xdr:from>
    <xdr:to>
      <xdr:col>8</xdr:col>
      <xdr:colOff>638983</xdr:colOff>
      <xdr:row>60</xdr:row>
      <xdr:rowOff>57598</xdr:rowOff>
    </xdr:to>
    <xdr:pic>
      <xdr:nvPicPr>
        <xdr:cNvPr id="18" name="그림 17">
          <a:extLst>
            <a:ext uri="{FF2B5EF4-FFF2-40B4-BE49-F238E27FC236}">
              <a16:creationId xmlns:a16="http://schemas.microsoft.com/office/drawing/2014/main" id="{00000000-0008-0000-3A00-000012000000}"/>
            </a:ext>
          </a:extLst>
        </xdr:cNvPr>
        <xdr:cNvPicPr>
          <a:picLocks noChangeAspect="1"/>
        </xdr:cNvPicPr>
      </xdr:nvPicPr>
      <xdr:blipFill>
        <a:blip xmlns:r="http://schemas.openxmlformats.org/officeDocument/2006/relationships" r:embed="rId1"/>
        <a:stretch>
          <a:fillRect/>
        </a:stretch>
      </xdr:blipFill>
      <xdr:spPr>
        <a:xfrm>
          <a:off x="819150" y="9420225"/>
          <a:ext cx="5792008" cy="3210373"/>
        </a:xfrm>
        <a:prstGeom prst="rect">
          <a:avLst/>
        </a:prstGeom>
      </xdr:spPr>
    </xdr:pic>
    <xdr:clientData/>
  </xdr:twoCellAnchor>
  <xdr:oneCellAnchor>
    <xdr:from>
      <xdr:col>5</xdr:col>
      <xdr:colOff>338817</xdr:colOff>
      <xdr:row>63</xdr:row>
      <xdr:rowOff>168727</xdr:rowOff>
    </xdr:from>
    <xdr:ext cx="249877" cy="281808"/>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00000000-0008-0000-3A00-000013000000}"/>
                </a:ext>
              </a:extLst>
            </xdr:cNvPr>
            <xdr:cNvSpPr txBox="1"/>
          </xdr:nvSpPr>
          <xdr:spPr>
            <a:xfrm>
              <a:off x="3291567"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19" name="TextBox 18"/>
            <xdr:cNvSpPr txBox="1"/>
          </xdr:nvSpPr>
          <xdr:spPr>
            <a:xfrm>
              <a:off x="3291567"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800" i="0">
                  <a:latin typeface="Cambria Math" panose="02040503050406030204" pitchFamily="18" charset="0"/>
                </a:rPr>
                <a:t>⋯</a:t>
              </a:r>
              <a:endParaRPr lang="ko-KR" altLang="en-US" sz="1800"/>
            </a:p>
          </xdr:txBody>
        </xdr:sp>
      </mc:Fallback>
    </mc:AlternateContent>
    <xdr:clientData/>
  </xdr:oneCellAnchor>
  <xdr:twoCellAnchor editAs="oneCell">
    <xdr:from>
      <xdr:col>2</xdr:col>
      <xdr:colOff>180975</xdr:colOff>
      <xdr:row>72</xdr:row>
      <xdr:rowOff>28575</xdr:rowOff>
    </xdr:from>
    <xdr:to>
      <xdr:col>10</xdr:col>
      <xdr:colOff>581847</xdr:colOff>
      <xdr:row>87</xdr:row>
      <xdr:rowOff>171909</xdr:rowOff>
    </xdr:to>
    <xdr:pic>
      <xdr:nvPicPr>
        <xdr:cNvPr id="20" name="그림 19">
          <a:extLst>
            <a:ext uri="{FF2B5EF4-FFF2-40B4-BE49-F238E27FC236}">
              <a16:creationId xmlns:a16="http://schemas.microsoft.com/office/drawing/2014/main" id="{00000000-0008-0000-3A00-000014000000}"/>
            </a:ext>
          </a:extLst>
        </xdr:cNvPr>
        <xdr:cNvPicPr>
          <a:picLocks noChangeAspect="1"/>
        </xdr:cNvPicPr>
      </xdr:nvPicPr>
      <xdr:blipFill>
        <a:blip xmlns:r="http://schemas.openxmlformats.org/officeDocument/2006/relationships" r:embed="rId2"/>
        <a:stretch>
          <a:fillRect/>
        </a:stretch>
      </xdr:blipFill>
      <xdr:spPr>
        <a:xfrm>
          <a:off x="1762125" y="15182850"/>
          <a:ext cx="5887272" cy="3286584"/>
        </a:xfrm>
        <a:prstGeom prst="rect">
          <a:avLst/>
        </a:prstGeom>
      </xdr:spPr>
    </xdr:pic>
    <xdr:clientData/>
  </xdr:twoCellAnchor>
  <xdr:oneCellAnchor>
    <xdr:from>
      <xdr:col>5</xdr:col>
      <xdr:colOff>338817</xdr:colOff>
      <xdr:row>89</xdr:row>
      <xdr:rowOff>168727</xdr:rowOff>
    </xdr:from>
    <xdr:ext cx="249877" cy="281808"/>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3A00-000015000000}"/>
                </a:ext>
              </a:extLst>
            </xdr:cNvPr>
            <xdr:cNvSpPr txBox="1"/>
          </xdr:nvSpPr>
          <xdr:spPr>
            <a:xfrm>
              <a:off x="3977367" y="13437052"/>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21" name="TextBox 20"/>
            <xdr:cNvSpPr txBox="1"/>
          </xdr:nvSpPr>
          <xdr:spPr>
            <a:xfrm>
              <a:off x="3977367" y="13437052"/>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800" i="0">
                  <a:latin typeface="Cambria Math" panose="02040503050406030204" pitchFamily="18" charset="0"/>
                </a:rPr>
                <a:t>⋯</a:t>
              </a:r>
              <a:endParaRPr lang="ko-KR" altLang="en-US" sz="1800"/>
            </a:p>
          </xdr:txBody>
        </xdr:sp>
      </mc:Fallback>
    </mc:AlternateContent>
    <xdr:clientData/>
  </xdr:oneCellAnchor>
  <xdr:oneCellAnchor>
    <xdr:from>
      <xdr:col>20</xdr:col>
      <xdr:colOff>195943</xdr:colOff>
      <xdr:row>37</xdr:row>
      <xdr:rowOff>34017</xdr:rowOff>
    </xdr:from>
    <xdr:ext cx="220253" cy="500971"/>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00000000-0008-0000-3A00-000016000000}"/>
                </a:ext>
              </a:extLst>
            </xdr:cNvPr>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200" i="1">
                        <a:latin typeface="Cambria Math" panose="02040503050406030204" pitchFamily="18" charset="0"/>
                      </a:rPr>
                      <m:t>⋮</m:t>
                    </m:r>
                  </m:oMath>
                </m:oMathPara>
              </a14:m>
              <a:endParaRPr lang="ko-KR" altLang="en-US" sz="3200"/>
            </a:p>
          </xdr:txBody>
        </xdr:sp>
      </mc:Choice>
      <mc:Fallback xmlns="">
        <xdr:sp macro="" textlink="">
          <xdr:nvSpPr>
            <xdr:cNvPr id="22" name="TextBox 21"/>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3200" i="0">
                  <a:latin typeface="Cambria Math" panose="02040503050406030204" pitchFamily="18" charset="0"/>
                </a:rPr>
                <a:t>⋮</a:t>
              </a:r>
              <a:endParaRPr lang="ko-KR" altLang="en-US" sz="3200"/>
            </a:p>
          </xdr:txBody>
        </xdr:sp>
      </mc:Fallback>
    </mc:AlternateContent>
    <xdr:clientData/>
  </xdr:oneCellAnchor>
  <xdr:twoCellAnchor>
    <xdr:from>
      <xdr:col>20</xdr:col>
      <xdr:colOff>114300</xdr:colOff>
      <xdr:row>33</xdr:row>
      <xdr:rowOff>171450</xdr:rowOff>
    </xdr:from>
    <xdr:to>
      <xdr:col>20</xdr:col>
      <xdr:colOff>342900</xdr:colOff>
      <xdr:row>35</xdr:row>
      <xdr:rowOff>19050</xdr:rowOff>
    </xdr:to>
    <xdr:sp macro="" textlink="">
      <xdr:nvSpPr>
        <xdr:cNvPr id="23" name="타원 22">
          <a:extLst>
            <a:ext uri="{FF2B5EF4-FFF2-40B4-BE49-F238E27FC236}">
              <a16:creationId xmlns:a16="http://schemas.microsoft.com/office/drawing/2014/main" id="{00000000-0008-0000-3A00-000017000000}"/>
            </a:ext>
          </a:extLst>
        </xdr:cNvPr>
        <xdr:cNvSpPr/>
      </xdr:nvSpPr>
      <xdr:spPr>
        <a:xfrm>
          <a:off x="12449175" y="708660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20</xdr:col>
      <xdr:colOff>123825</xdr:colOff>
      <xdr:row>35</xdr:row>
      <xdr:rowOff>76200</xdr:rowOff>
    </xdr:from>
    <xdr:to>
      <xdr:col>20</xdr:col>
      <xdr:colOff>352425</xdr:colOff>
      <xdr:row>36</xdr:row>
      <xdr:rowOff>133350</xdr:rowOff>
    </xdr:to>
    <xdr:sp macro="" textlink="">
      <xdr:nvSpPr>
        <xdr:cNvPr id="24" name="타원 23">
          <a:extLst>
            <a:ext uri="{FF2B5EF4-FFF2-40B4-BE49-F238E27FC236}">
              <a16:creationId xmlns:a16="http://schemas.microsoft.com/office/drawing/2014/main" id="{00000000-0008-0000-3A00-000018000000}"/>
            </a:ext>
          </a:extLst>
        </xdr:cNvPr>
        <xdr:cNvSpPr/>
      </xdr:nvSpPr>
      <xdr:spPr>
        <a:xfrm>
          <a:off x="12458700" y="741045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23</xdr:col>
      <xdr:colOff>266700</xdr:colOff>
      <xdr:row>35</xdr:row>
      <xdr:rowOff>142875</xdr:rowOff>
    </xdr:from>
    <xdr:to>
      <xdr:col>23</xdr:col>
      <xdr:colOff>495300</xdr:colOff>
      <xdr:row>36</xdr:row>
      <xdr:rowOff>200025</xdr:rowOff>
    </xdr:to>
    <xdr:sp macro="" textlink="">
      <xdr:nvSpPr>
        <xdr:cNvPr id="25" name="타원 24">
          <a:extLst>
            <a:ext uri="{FF2B5EF4-FFF2-40B4-BE49-F238E27FC236}">
              <a16:creationId xmlns:a16="http://schemas.microsoft.com/office/drawing/2014/main" id="{00000000-0008-0000-3A00-000019000000}"/>
            </a:ext>
          </a:extLst>
        </xdr:cNvPr>
        <xdr:cNvSpPr/>
      </xdr:nvSpPr>
      <xdr:spPr>
        <a:xfrm>
          <a:off x="16716375" y="7477125"/>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205155</xdr:colOff>
      <xdr:row>3</xdr:row>
      <xdr:rowOff>43963</xdr:rowOff>
    </xdr:from>
    <xdr:to>
      <xdr:col>3</xdr:col>
      <xdr:colOff>21981</xdr:colOff>
      <xdr:row>6</xdr:row>
      <xdr:rowOff>156681</xdr:rowOff>
    </xdr:to>
    <xdr:pic>
      <xdr:nvPicPr>
        <xdr:cNvPr id="3" name="그림 2">
          <a:extLst>
            <a:ext uri="{FF2B5EF4-FFF2-40B4-BE49-F238E27FC236}">
              <a16:creationId xmlns:a16="http://schemas.microsoft.com/office/drawing/2014/main" id="{00000000-0008-0000-3A00-000003000000}"/>
            </a:ext>
          </a:extLst>
        </xdr:cNvPr>
        <xdr:cNvPicPr>
          <a:picLocks noChangeAspect="1"/>
        </xdr:cNvPicPr>
      </xdr:nvPicPr>
      <xdr:blipFill>
        <a:blip xmlns:r="http://schemas.openxmlformats.org/officeDocument/2006/relationships" r:embed="rId3"/>
        <a:stretch>
          <a:fillRect/>
        </a:stretch>
      </xdr:blipFill>
      <xdr:spPr>
        <a:xfrm>
          <a:off x="205155" y="681405"/>
          <a:ext cx="2359268" cy="750161"/>
        </a:xfrm>
        <a:prstGeom prst="rect">
          <a:avLst/>
        </a:prstGeom>
      </xdr:spPr>
    </xdr:pic>
    <xdr:clientData/>
  </xdr:twoCellAnchor>
  <xdr:twoCellAnchor editAs="oneCell">
    <xdr:from>
      <xdr:col>0</xdr:col>
      <xdr:colOff>234462</xdr:colOff>
      <xdr:row>8</xdr:row>
      <xdr:rowOff>737</xdr:rowOff>
    </xdr:from>
    <xdr:to>
      <xdr:col>3</xdr:col>
      <xdr:colOff>241790</xdr:colOff>
      <xdr:row>16</xdr:row>
      <xdr:rowOff>2411</xdr:rowOff>
    </xdr:to>
    <xdr:pic>
      <xdr:nvPicPr>
        <xdr:cNvPr id="4" name="그림 3">
          <a:extLst>
            <a:ext uri="{FF2B5EF4-FFF2-40B4-BE49-F238E27FC236}">
              <a16:creationId xmlns:a16="http://schemas.microsoft.com/office/drawing/2014/main" id="{00000000-0008-0000-3A00-000004000000}"/>
            </a:ext>
          </a:extLst>
        </xdr:cNvPr>
        <xdr:cNvPicPr>
          <a:picLocks noChangeAspect="1"/>
        </xdr:cNvPicPr>
      </xdr:nvPicPr>
      <xdr:blipFill>
        <a:blip xmlns:r="http://schemas.openxmlformats.org/officeDocument/2006/relationships" r:embed="rId4"/>
        <a:stretch>
          <a:fillRect/>
        </a:stretch>
      </xdr:blipFill>
      <xdr:spPr>
        <a:xfrm>
          <a:off x="234462" y="1700583"/>
          <a:ext cx="2549770" cy="1701520"/>
        </a:xfrm>
        <a:prstGeom prst="rect">
          <a:avLst/>
        </a:prstGeom>
      </xdr:spPr>
    </xdr:pic>
    <xdr:clientData/>
  </xdr:twoCellAnchor>
  <xdr:twoCellAnchor editAs="oneCell">
    <xdr:from>
      <xdr:col>4</xdr:col>
      <xdr:colOff>43962</xdr:colOff>
      <xdr:row>2</xdr:row>
      <xdr:rowOff>19186</xdr:rowOff>
    </xdr:from>
    <xdr:to>
      <xdr:col>9</xdr:col>
      <xdr:colOff>564174</xdr:colOff>
      <xdr:row>7</xdr:row>
      <xdr:rowOff>125981</xdr:rowOff>
    </xdr:to>
    <xdr:pic>
      <xdr:nvPicPr>
        <xdr:cNvPr id="6" name="그림 5">
          <a:extLst>
            <a:ext uri="{FF2B5EF4-FFF2-40B4-BE49-F238E27FC236}">
              <a16:creationId xmlns:a16="http://schemas.microsoft.com/office/drawing/2014/main" id="{00000000-0008-0000-3A00-000006000000}"/>
            </a:ext>
          </a:extLst>
        </xdr:cNvPr>
        <xdr:cNvPicPr>
          <a:picLocks noChangeAspect="1"/>
        </xdr:cNvPicPr>
      </xdr:nvPicPr>
      <xdr:blipFill>
        <a:blip xmlns:r="http://schemas.openxmlformats.org/officeDocument/2006/relationships" r:embed="rId5"/>
        <a:stretch>
          <a:fillRect/>
        </a:stretch>
      </xdr:blipFill>
      <xdr:spPr>
        <a:xfrm>
          <a:off x="3275135" y="444148"/>
          <a:ext cx="3963866" cy="1169198"/>
        </a:xfrm>
        <a:prstGeom prst="rect">
          <a:avLst/>
        </a:prstGeom>
      </xdr:spPr>
    </xdr:pic>
    <xdr:clientData/>
  </xdr:twoCellAnchor>
  <xdr:twoCellAnchor editAs="oneCell">
    <xdr:from>
      <xdr:col>4</xdr:col>
      <xdr:colOff>21981</xdr:colOff>
      <xdr:row>7</xdr:row>
      <xdr:rowOff>12341</xdr:rowOff>
    </xdr:from>
    <xdr:to>
      <xdr:col>9</xdr:col>
      <xdr:colOff>234461</xdr:colOff>
      <xdr:row>18</xdr:row>
      <xdr:rowOff>87500</xdr:rowOff>
    </xdr:to>
    <xdr:pic>
      <xdr:nvPicPr>
        <xdr:cNvPr id="8" name="그림 7">
          <a:extLst>
            <a:ext uri="{FF2B5EF4-FFF2-40B4-BE49-F238E27FC236}">
              <a16:creationId xmlns:a16="http://schemas.microsoft.com/office/drawing/2014/main" id="{00000000-0008-0000-3A00-000008000000}"/>
            </a:ext>
          </a:extLst>
        </xdr:cNvPr>
        <xdr:cNvPicPr>
          <a:picLocks noChangeAspect="1"/>
        </xdr:cNvPicPr>
      </xdr:nvPicPr>
      <xdr:blipFill>
        <a:blip xmlns:r="http://schemas.openxmlformats.org/officeDocument/2006/relationships" r:embed="rId6"/>
        <a:stretch>
          <a:fillRect/>
        </a:stretch>
      </xdr:blipFill>
      <xdr:spPr>
        <a:xfrm>
          <a:off x="3253154" y="1499706"/>
          <a:ext cx="3656134" cy="2412448"/>
        </a:xfrm>
        <a:prstGeom prst="rect">
          <a:avLst/>
        </a:prstGeom>
      </xdr:spPr>
    </xdr:pic>
    <xdr:clientData/>
  </xdr:twoCellAnchor>
  <xdr:twoCellAnchor editAs="oneCell">
    <xdr:from>
      <xdr:col>9</xdr:col>
      <xdr:colOff>343634</xdr:colOff>
      <xdr:row>2</xdr:row>
      <xdr:rowOff>109903</xdr:rowOff>
    </xdr:from>
    <xdr:to>
      <xdr:col>17</xdr:col>
      <xdr:colOff>512123</xdr:colOff>
      <xdr:row>18</xdr:row>
      <xdr:rowOff>21980</xdr:rowOff>
    </xdr:to>
    <xdr:pic>
      <xdr:nvPicPr>
        <xdr:cNvPr id="9" name="그림 8">
          <a:extLst>
            <a:ext uri="{FF2B5EF4-FFF2-40B4-BE49-F238E27FC236}">
              <a16:creationId xmlns:a16="http://schemas.microsoft.com/office/drawing/2014/main" id="{00000000-0008-0000-3A00-000009000000}"/>
            </a:ext>
          </a:extLst>
        </xdr:cNvPr>
        <xdr:cNvPicPr>
          <a:picLocks noChangeAspect="1"/>
        </xdr:cNvPicPr>
      </xdr:nvPicPr>
      <xdr:blipFill>
        <a:blip xmlns:r="http://schemas.openxmlformats.org/officeDocument/2006/relationships" r:embed="rId7"/>
        <a:stretch>
          <a:fillRect/>
        </a:stretch>
      </xdr:blipFill>
      <xdr:spPr>
        <a:xfrm>
          <a:off x="7018461" y="534865"/>
          <a:ext cx="5868835" cy="3311769"/>
        </a:xfrm>
        <a:prstGeom prst="rect">
          <a:avLst/>
        </a:prstGeom>
      </xdr:spPr>
    </xdr:pic>
    <xdr:clientData/>
  </xdr:twoCellAnchor>
  <xdr:twoCellAnchor editAs="oneCell">
    <xdr:from>
      <xdr:col>17</xdr:col>
      <xdr:colOff>395655</xdr:colOff>
      <xdr:row>2</xdr:row>
      <xdr:rowOff>154129</xdr:rowOff>
    </xdr:from>
    <xdr:to>
      <xdr:col>27</xdr:col>
      <xdr:colOff>381298</xdr:colOff>
      <xdr:row>18</xdr:row>
      <xdr:rowOff>164996</xdr:rowOff>
    </xdr:to>
    <xdr:pic>
      <xdr:nvPicPr>
        <xdr:cNvPr id="10" name="그림 9">
          <a:extLst>
            <a:ext uri="{FF2B5EF4-FFF2-40B4-BE49-F238E27FC236}">
              <a16:creationId xmlns:a16="http://schemas.microsoft.com/office/drawing/2014/main" id="{00000000-0008-0000-3A00-00000A000000}"/>
            </a:ext>
          </a:extLst>
        </xdr:cNvPr>
        <xdr:cNvPicPr>
          <a:picLocks noChangeAspect="1"/>
        </xdr:cNvPicPr>
      </xdr:nvPicPr>
      <xdr:blipFill>
        <a:blip xmlns:r="http://schemas.openxmlformats.org/officeDocument/2006/relationships" r:embed="rId8"/>
        <a:stretch>
          <a:fillRect/>
        </a:stretch>
      </xdr:blipFill>
      <xdr:spPr>
        <a:xfrm>
          <a:off x="12770828" y="579091"/>
          <a:ext cx="6872951" cy="3410559"/>
        </a:xfrm>
        <a:prstGeom prst="rect">
          <a:avLst/>
        </a:prstGeom>
      </xdr:spPr>
    </xdr:pic>
    <xdr:clientData/>
  </xdr:twoCellAnchor>
</xdr:wsDr>
</file>

<file path=xl/drawings/drawing51.xml><?xml version="1.0" encoding="utf-8"?>
<xdr:wsDr xmlns:xdr="http://schemas.openxmlformats.org/drawingml/2006/spreadsheetDrawing" xmlns:a="http://schemas.openxmlformats.org/drawingml/2006/main">
  <xdr:twoCellAnchor>
    <xdr:from>
      <xdr:col>12</xdr:col>
      <xdr:colOff>152400</xdr:colOff>
      <xdr:row>17</xdr:row>
      <xdr:rowOff>171450</xdr:rowOff>
    </xdr:from>
    <xdr:to>
      <xdr:col>12</xdr:col>
      <xdr:colOff>457200</xdr:colOff>
      <xdr:row>19</xdr:row>
      <xdr:rowOff>0</xdr:rowOff>
    </xdr:to>
    <xdr:sp macro="" textlink="">
      <xdr:nvSpPr>
        <xdr:cNvPr id="2" name="타원 1">
          <a:extLst>
            <a:ext uri="{FF2B5EF4-FFF2-40B4-BE49-F238E27FC236}">
              <a16:creationId xmlns:a16="http://schemas.microsoft.com/office/drawing/2014/main" id="{00000000-0008-0000-3B00-000002000000}"/>
            </a:ext>
          </a:extLst>
        </xdr:cNvPr>
        <xdr:cNvSpPr/>
      </xdr:nvSpPr>
      <xdr:spPr>
        <a:xfrm>
          <a:off x="9496425" y="3733800"/>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152400</xdr:colOff>
      <xdr:row>19</xdr:row>
      <xdr:rowOff>200025</xdr:rowOff>
    </xdr:from>
    <xdr:to>
      <xdr:col>12</xdr:col>
      <xdr:colOff>457200</xdr:colOff>
      <xdr:row>21</xdr:row>
      <xdr:rowOff>28575</xdr:rowOff>
    </xdr:to>
    <xdr:sp macro="" textlink="">
      <xdr:nvSpPr>
        <xdr:cNvPr id="3" name="타원 2">
          <a:extLst>
            <a:ext uri="{FF2B5EF4-FFF2-40B4-BE49-F238E27FC236}">
              <a16:creationId xmlns:a16="http://schemas.microsoft.com/office/drawing/2014/main" id="{00000000-0008-0000-3B00-000003000000}"/>
            </a:ext>
          </a:extLst>
        </xdr:cNvPr>
        <xdr:cNvSpPr/>
      </xdr:nvSpPr>
      <xdr:spPr>
        <a:xfrm>
          <a:off x="9496425" y="41814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200025</xdr:colOff>
      <xdr:row>33</xdr:row>
      <xdr:rowOff>66675</xdr:rowOff>
    </xdr:from>
    <xdr:to>
      <xdr:col>12</xdr:col>
      <xdr:colOff>504825</xdr:colOff>
      <xdr:row>34</xdr:row>
      <xdr:rowOff>104775</xdr:rowOff>
    </xdr:to>
    <xdr:sp macro="" textlink="">
      <xdr:nvSpPr>
        <xdr:cNvPr id="4" name="타원 3">
          <a:extLst>
            <a:ext uri="{FF2B5EF4-FFF2-40B4-BE49-F238E27FC236}">
              <a16:creationId xmlns:a16="http://schemas.microsoft.com/office/drawing/2014/main" id="{00000000-0008-0000-3B00-000004000000}"/>
            </a:ext>
          </a:extLst>
        </xdr:cNvPr>
        <xdr:cNvSpPr/>
      </xdr:nvSpPr>
      <xdr:spPr>
        <a:xfrm>
          <a:off x="9544050" y="698182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16</xdr:col>
      <xdr:colOff>439599</xdr:colOff>
      <xdr:row>10</xdr:row>
      <xdr:rowOff>8283</xdr:rowOff>
    </xdr:from>
    <xdr:to>
      <xdr:col>23</xdr:col>
      <xdr:colOff>34317</xdr:colOff>
      <xdr:row>27</xdr:row>
      <xdr:rowOff>123825</xdr:rowOff>
    </xdr:to>
    <xdr:pic>
      <xdr:nvPicPr>
        <xdr:cNvPr id="5" name="그림 4">
          <a:extLst>
            <a:ext uri="{FF2B5EF4-FFF2-40B4-BE49-F238E27FC236}">
              <a16:creationId xmlns:a16="http://schemas.microsoft.com/office/drawing/2014/main" id="{00000000-0008-0000-3B00-000005000000}"/>
            </a:ext>
          </a:extLst>
        </xdr:cNvPr>
        <xdr:cNvPicPr>
          <a:picLocks noChangeAspect="1"/>
        </xdr:cNvPicPr>
      </xdr:nvPicPr>
      <xdr:blipFill>
        <a:blip xmlns:r="http://schemas.openxmlformats.org/officeDocument/2006/relationships" r:embed="rId1"/>
        <a:stretch>
          <a:fillRect/>
        </a:stretch>
      </xdr:blipFill>
      <xdr:spPr>
        <a:xfrm>
          <a:off x="12526824" y="2103783"/>
          <a:ext cx="4395318" cy="3677892"/>
        </a:xfrm>
        <a:prstGeom prst="rect">
          <a:avLst/>
        </a:prstGeom>
      </xdr:spPr>
    </xdr:pic>
    <xdr:clientData/>
  </xdr:twoCellAnchor>
  <xdr:twoCellAnchor editAs="oneCell">
    <xdr:from>
      <xdr:col>7</xdr:col>
      <xdr:colOff>523875</xdr:colOff>
      <xdr:row>0</xdr:row>
      <xdr:rowOff>1</xdr:rowOff>
    </xdr:from>
    <xdr:to>
      <xdr:col>10</xdr:col>
      <xdr:colOff>333375</xdr:colOff>
      <xdr:row>6</xdr:row>
      <xdr:rowOff>40365</xdr:rowOff>
    </xdr:to>
    <xdr:pic>
      <xdr:nvPicPr>
        <xdr:cNvPr id="6" name="그림 5">
          <a:extLst>
            <a:ext uri="{FF2B5EF4-FFF2-40B4-BE49-F238E27FC236}">
              <a16:creationId xmlns:a16="http://schemas.microsoft.com/office/drawing/2014/main" id="{00000000-0008-0000-3B00-000006000000}"/>
            </a:ext>
          </a:extLst>
        </xdr:cNvPr>
        <xdr:cNvPicPr>
          <a:picLocks noChangeAspect="1"/>
        </xdr:cNvPicPr>
      </xdr:nvPicPr>
      <xdr:blipFill>
        <a:blip xmlns:r="http://schemas.openxmlformats.org/officeDocument/2006/relationships" r:embed="rId2"/>
        <a:stretch>
          <a:fillRect/>
        </a:stretch>
      </xdr:blipFill>
      <xdr:spPr>
        <a:xfrm>
          <a:off x="6438900" y="1"/>
          <a:ext cx="1866900" cy="1297664"/>
        </a:xfrm>
        <a:prstGeom prst="rect">
          <a:avLst/>
        </a:prstGeom>
      </xdr:spPr>
    </xdr:pic>
    <xdr:clientData/>
  </xdr:twoCellAnchor>
  <xdr:twoCellAnchor editAs="oneCell">
    <xdr:from>
      <xdr:col>23</xdr:col>
      <xdr:colOff>652096</xdr:colOff>
      <xdr:row>11</xdr:row>
      <xdr:rowOff>96776</xdr:rowOff>
    </xdr:from>
    <xdr:to>
      <xdr:col>30</xdr:col>
      <xdr:colOff>538155</xdr:colOff>
      <xdr:row>27</xdr:row>
      <xdr:rowOff>11025</xdr:rowOff>
    </xdr:to>
    <xdr:pic>
      <xdr:nvPicPr>
        <xdr:cNvPr id="7" name="그림 6">
          <a:extLst>
            <a:ext uri="{FF2B5EF4-FFF2-40B4-BE49-F238E27FC236}">
              <a16:creationId xmlns:a16="http://schemas.microsoft.com/office/drawing/2014/main" id="{00000000-0008-0000-3B00-000007000000}"/>
            </a:ext>
          </a:extLst>
        </xdr:cNvPr>
        <xdr:cNvPicPr>
          <a:picLocks noChangeAspect="1"/>
        </xdr:cNvPicPr>
      </xdr:nvPicPr>
      <xdr:blipFill>
        <a:blip xmlns:r="http://schemas.openxmlformats.org/officeDocument/2006/relationships" r:embed="rId3"/>
        <a:stretch>
          <a:fillRect/>
        </a:stretch>
      </xdr:blipFill>
      <xdr:spPr>
        <a:xfrm>
          <a:off x="17606596" y="2434064"/>
          <a:ext cx="4707174" cy="3313942"/>
        </a:xfrm>
        <a:prstGeom prst="rect">
          <a:avLst/>
        </a:prstGeom>
      </xdr:spPr>
    </xdr:pic>
    <xdr:clientData/>
  </xdr:twoCellAnchor>
</xdr:wsDr>
</file>

<file path=xl/drawings/drawing52.xml><?xml version="1.0" encoding="utf-8"?>
<xdr:wsDr xmlns:xdr="http://schemas.openxmlformats.org/drawingml/2006/spreadsheetDrawing" xmlns:a="http://schemas.openxmlformats.org/drawingml/2006/main">
  <xdr:twoCellAnchor>
    <xdr:from>
      <xdr:col>14</xdr:col>
      <xdr:colOff>152400</xdr:colOff>
      <xdr:row>17</xdr:row>
      <xdr:rowOff>171450</xdr:rowOff>
    </xdr:from>
    <xdr:to>
      <xdr:col>14</xdr:col>
      <xdr:colOff>457200</xdr:colOff>
      <xdr:row>19</xdr:row>
      <xdr:rowOff>0</xdr:rowOff>
    </xdr:to>
    <xdr:sp macro="" textlink="">
      <xdr:nvSpPr>
        <xdr:cNvPr id="2" name="타원 1">
          <a:extLst>
            <a:ext uri="{FF2B5EF4-FFF2-40B4-BE49-F238E27FC236}">
              <a16:creationId xmlns:a16="http://schemas.microsoft.com/office/drawing/2014/main" id="{00000000-0008-0000-3C00-000002000000}"/>
            </a:ext>
          </a:extLst>
        </xdr:cNvPr>
        <xdr:cNvSpPr/>
      </xdr:nvSpPr>
      <xdr:spPr>
        <a:xfrm>
          <a:off x="9496425" y="3733800"/>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152400</xdr:colOff>
      <xdr:row>19</xdr:row>
      <xdr:rowOff>200025</xdr:rowOff>
    </xdr:from>
    <xdr:to>
      <xdr:col>14</xdr:col>
      <xdr:colOff>457200</xdr:colOff>
      <xdr:row>21</xdr:row>
      <xdr:rowOff>28575</xdr:rowOff>
    </xdr:to>
    <xdr:sp macro="" textlink="">
      <xdr:nvSpPr>
        <xdr:cNvPr id="3" name="타원 2">
          <a:extLst>
            <a:ext uri="{FF2B5EF4-FFF2-40B4-BE49-F238E27FC236}">
              <a16:creationId xmlns:a16="http://schemas.microsoft.com/office/drawing/2014/main" id="{00000000-0008-0000-3C00-000003000000}"/>
            </a:ext>
          </a:extLst>
        </xdr:cNvPr>
        <xdr:cNvSpPr/>
      </xdr:nvSpPr>
      <xdr:spPr>
        <a:xfrm>
          <a:off x="9496425" y="41814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200025</xdr:colOff>
      <xdr:row>33</xdr:row>
      <xdr:rowOff>66675</xdr:rowOff>
    </xdr:from>
    <xdr:to>
      <xdr:col>14</xdr:col>
      <xdr:colOff>504825</xdr:colOff>
      <xdr:row>34</xdr:row>
      <xdr:rowOff>104775</xdr:rowOff>
    </xdr:to>
    <xdr:sp macro="" textlink="">
      <xdr:nvSpPr>
        <xdr:cNvPr id="4" name="타원 3">
          <a:extLst>
            <a:ext uri="{FF2B5EF4-FFF2-40B4-BE49-F238E27FC236}">
              <a16:creationId xmlns:a16="http://schemas.microsoft.com/office/drawing/2014/main" id="{00000000-0008-0000-3C00-000004000000}"/>
            </a:ext>
          </a:extLst>
        </xdr:cNvPr>
        <xdr:cNvSpPr/>
      </xdr:nvSpPr>
      <xdr:spPr>
        <a:xfrm>
          <a:off x="9544050" y="698182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19</xdr:col>
      <xdr:colOff>439599</xdr:colOff>
      <xdr:row>10</xdr:row>
      <xdr:rowOff>8283</xdr:rowOff>
    </xdr:from>
    <xdr:to>
      <xdr:col>26</xdr:col>
      <xdr:colOff>34317</xdr:colOff>
      <xdr:row>27</xdr:row>
      <xdr:rowOff>123825</xdr:rowOff>
    </xdr:to>
    <xdr:pic>
      <xdr:nvPicPr>
        <xdr:cNvPr id="5" name="그림 4">
          <a:extLst>
            <a:ext uri="{FF2B5EF4-FFF2-40B4-BE49-F238E27FC236}">
              <a16:creationId xmlns:a16="http://schemas.microsoft.com/office/drawing/2014/main" id="{00000000-0008-0000-3C00-000005000000}"/>
            </a:ext>
          </a:extLst>
        </xdr:cNvPr>
        <xdr:cNvPicPr>
          <a:picLocks noChangeAspect="1"/>
        </xdr:cNvPicPr>
      </xdr:nvPicPr>
      <xdr:blipFill>
        <a:blip xmlns:r="http://schemas.openxmlformats.org/officeDocument/2006/relationships" r:embed="rId1"/>
        <a:stretch>
          <a:fillRect/>
        </a:stretch>
      </xdr:blipFill>
      <xdr:spPr>
        <a:xfrm>
          <a:off x="12526824" y="2103783"/>
          <a:ext cx="4395318" cy="3677892"/>
        </a:xfrm>
        <a:prstGeom prst="rect">
          <a:avLst/>
        </a:prstGeom>
      </xdr:spPr>
    </xdr:pic>
    <xdr:clientData/>
  </xdr:twoCellAnchor>
  <xdr:twoCellAnchor editAs="oneCell">
    <xdr:from>
      <xdr:col>5</xdr:col>
      <xdr:colOff>581025</xdr:colOff>
      <xdr:row>0</xdr:row>
      <xdr:rowOff>1</xdr:rowOff>
    </xdr:from>
    <xdr:to>
      <xdr:col>10</xdr:col>
      <xdr:colOff>333375</xdr:colOff>
      <xdr:row>14</xdr:row>
      <xdr:rowOff>184667</xdr:rowOff>
    </xdr:to>
    <xdr:pic>
      <xdr:nvPicPr>
        <xdr:cNvPr id="6" name="그림 5">
          <a:extLst>
            <a:ext uri="{FF2B5EF4-FFF2-40B4-BE49-F238E27FC236}">
              <a16:creationId xmlns:a16="http://schemas.microsoft.com/office/drawing/2014/main" id="{00000000-0008-0000-3C00-000006000000}"/>
            </a:ext>
          </a:extLst>
        </xdr:cNvPr>
        <xdr:cNvPicPr>
          <a:picLocks noChangeAspect="1"/>
        </xdr:cNvPicPr>
      </xdr:nvPicPr>
      <xdr:blipFill>
        <a:blip xmlns:r="http://schemas.openxmlformats.org/officeDocument/2006/relationships" r:embed="rId2"/>
        <a:stretch>
          <a:fillRect/>
        </a:stretch>
      </xdr:blipFill>
      <xdr:spPr>
        <a:xfrm>
          <a:off x="4010025" y="1"/>
          <a:ext cx="4486275" cy="3118366"/>
        </a:xfrm>
        <a:prstGeom prst="rect">
          <a:avLst/>
        </a:prstGeom>
      </xdr:spPr>
    </xdr:pic>
    <xdr:clientData/>
  </xdr:twoCellAnchor>
  <xdr:twoCellAnchor editAs="oneCell">
    <xdr:from>
      <xdr:col>26</xdr:col>
      <xdr:colOff>652096</xdr:colOff>
      <xdr:row>11</xdr:row>
      <xdr:rowOff>96776</xdr:rowOff>
    </xdr:from>
    <xdr:to>
      <xdr:col>33</xdr:col>
      <xdr:colOff>538155</xdr:colOff>
      <xdr:row>27</xdr:row>
      <xdr:rowOff>11025</xdr:rowOff>
    </xdr:to>
    <xdr:pic>
      <xdr:nvPicPr>
        <xdr:cNvPr id="7" name="그림 6">
          <a:extLst>
            <a:ext uri="{FF2B5EF4-FFF2-40B4-BE49-F238E27FC236}">
              <a16:creationId xmlns:a16="http://schemas.microsoft.com/office/drawing/2014/main" id="{00000000-0008-0000-3C00-000007000000}"/>
            </a:ext>
          </a:extLst>
        </xdr:cNvPr>
        <xdr:cNvPicPr>
          <a:picLocks noChangeAspect="1"/>
        </xdr:cNvPicPr>
      </xdr:nvPicPr>
      <xdr:blipFill>
        <a:blip xmlns:r="http://schemas.openxmlformats.org/officeDocument/2006/relationships" r:embed="rId3"/>
        <a:stretch>
          <a:fillRect/>
        </a:stretch>
      </xdr:blipFill>
      <xdr:spPr>
        <a:xfrm>
          <a:off x="17539921" y="2401826"/>
          <a:ext cx="4686659" cy="3267049"/>
        </a:xfrm>
        <a:prstGeom prst="rect">
          <a:avLst/>
        </a:prstGeom>
      </xdr:spPr>
    </xdr:pic>
    <xdr:clientData/>
  </xdr:twoCellAnchor>
  <xdr:oneCellAnchor>
    <xdr:from>
      <xdr:col>4</xdr:col>
      <xdr:colOff>338817</xdr:colOff>
      <xdr:row>16</xdr:row>
      <xdr:rowOff>168727</xdr:rowOff>
    </xdr:from>
    <xdr:ext cx="249877" cy="28180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0000000-0008-0000-3C00-000008000000}"/>
                </a:ext>
              </a:extLst>
            </xdr:cNvPr>
            <xdr:cNvSpPr txBox="1"/>
          </xdr:nvSpPr>
          <xdr:spPr>
            <a:xfrm>
              <a:off x="3567792"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8" name="TextBox 7"/>
            <xdr:cNvSpPr txBox="1"/>
          </xdr:nvSpPr>
          <xdr:spPr>
            <a:xfrm>
              <a:off x="3567792"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1800" i="0">
                  <a:latin typeface="Cambria Math" panose="02040503050406030204" pitchFamily="18" charset="0"/>
                </a:rPr>
                <a:t>⋯</a:t>
              </a:r>
              <a:endParaRPr lang="ko-KR" altLang="en-US" sz="1800"/>
            </a:p>
          </xdr:txBody>
        </xdr:sp>
      </mc:Fallback>
    </mc:AlternateContent>
    <xdr:clientData/>
  </xdr:oneCellAnchor>
  <xdr:twoCellAnchor>
    <xdr:from>
      <xdr:col>16</xdr:col>
      <xdr:colOff>152400</xdr:colOff>
      <xdr:row>17</xdr:row>
      <xdr:rowOff>171450</xdr:rowOff>
    </xdr:from>
    <xdr:to>
      <xdr:col>16</xdr:col>
      <xdr:colOff>457200</xdr:colOff>
      <xdr:row>19</xdr:row>
      <xdr:rowOff>0</xdr:rowOff>
    </xdr:to>
    <xdr:sp macro="" textlink="">
      <xdr:nvSpPr>
        <xdr:cNvPr id="9" name="타원 8">
          <a:extLst>
            <a:ext uri="{FF2B5EF4-FFF2-40B4-BE49-F238E27FC236}">
              <a16:creationId xmlns:a16="http://schemas.microsoft.com/office/drawing/2014/main" id="{00000000-0008-0000-3C00-000009000000}"/>
            </a:ext>
          </a:extLst>
        </xdr:cNvPr>
        <xdr:cNvSpPr/>
      </xdr:nvSpPr>
      <xdr:spPr>
        <a:xfrm>
          <a:off x="10868025" y="3733800"/>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152400</xdr:colOff>
      <xdr:row>19</xdr:row>
      <xdr:rowOff>200025</xdr:rowOff>
    </xdr:from>
    <xdr:to>
      <xdr:col>16</xdr:col>
      <xdr:colOff>457200</xdr:colOff>
      <xdr:row>21</xdr:row>
      <xdr:rowOff>28575</xdr:rowOff>
    </xdr:to>
    <xdr:sp macro="" textlink="">
      <xdr:nvSpPr>
        <xdr:cNvPr id="10" name="타원 9">
          <a:extLst>
            <a:ext uri="{FF2B5EF4-FFF2-40B4-BE49-F238E27FC236}">
              <a16:creationId xmlns:a16="http://schemas.microsoft.com/office/drawing/2014/main" id="{00000000-0008-0000-3C00-00000A000000}"/>
            </a:ext>
          </a:extLst>
        </xdr:cNvPr>
        <xdr:cNvSpPr/>
      </xdr:nvSpPr>
      <xdr:spPr>
        <a:xfrm>
          <a:off x="10868025" y="41814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200025</xdr:colOff>
      <xdr:row>33</xdr:row>
      <xdr:rowOff>66675</xdr:rowOff>
    </xdr:from>
    <xdr:to>
      <xdr:col>16</xdr:col>
      <xdr:colOff>504825</xdr:colOff>
      <xdr:row>34</xdr:row>
      <xdr:rowOff>104775</xdr:rowOff>
    </xdr:to>
    <xdr:sp macro="" textlink="">
      <xdr:nvSpPr>
        <xdr:cNvPr id="11" name="타원 10">
          <a:extLst>
            <a:ext uri="{FF2B5EF4-FFF2-40B4-BE49-F238E27FC236}">
              <a16:creationId xmlns:a16="http://schemas.microsoft.com/office/drawing/2014/main" id="{00000000-0008-0000-3C00-00000B000000}"/>
            </a:ext>
          </a:extLst>
        </xdr:cNvPr>
        <xdr:cNvSpPr/>
      </xdr:nvSpPr>
      <xdr:spPr>
        <a:xfrm>
          <a:off x="10915650" y="698182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180975</xdr:colOff>
      <xdr:row>24</xdr:row>
      <xdr:rowOff>142875</xdr:rowOff>
    </xdr:from>
    <xdr:to>
      <xdr:col>18</xdr:col>
      <xdr:colOff>485775</xdr:colOff>
      <xdr:row>25</xdr:row>
      <xdr:rowOff>180975</xdr:rowOff>
    </xdr:to>
    <xdr:sp macro="" textlink="">
      <xdr:nvSpPr>
        <xdr:cNvPr id="12" name="타원 11">
          <a:extLst>
            <a:ext uri="{FF2B5EF4-FFF2-40B4-BE49-F238E27FC236}">
              <a16:creationId xmlns:a16="http://schemas.microsoft.com/office/drawing/2014/main" id="{00000000-0008-0000-3C00-00000C000000}"/>
            </a:ext>
          </a:extLst>
        </xdr:cNvPr>
        <xdr:cNvSpPr/>
      </xdr:nvSpPr>
      <xdr:spPr>
        <a:xfrm>
          <a:off x="13639800" y="51720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3.xml><?xml version="1.0" encoding="utf-8"?>
<xdr:wsDr xmlns:xdr="http://schemas.openxmlformats.org/drawingml/2006/spreadsheetDrawing" xmlns:a="http://schemas.openxmlformats.org/drawingml/2006/main">
  <xdr:twoCellAnchor>
    <xdr:from>
      <xdr:col>14</xdr:col>
      <xdr:colOff>323850</xdr:colOff>
      <xdr:row>6</xdr:row>
      <xdr:rowOff>47625</xdr:rowOff>
    </xdr:from>
    <xdr:to>
      <xdr:col>14</xdr:col>
      <xdr:colOff>514350</xdr:colOff>
      <xdr:row>7</xdr:row>
      <xdr:rowOff>28575</xdr:rowOff>
    </xdr:to>
    <xdr:sp macro="" textlink="">
      <xdr:nvSpPr>
        <xdr:cNvPr id="2" name="타원 1">
          <a:extLst>
            <a:ext uri="{FF2B5EF4-FFF2-40B4-BE49-F238E27FC236}">
              <a16:creationId xmlns:a16="http://schemas.microsoft.com/office/drawing/2014/main" id="{00000000-0008-0000-3D00-000002000000}"/>
            </a:ext>
          </a:extLst>
        </xdr:cNvPr>
        <xdr:cNvSpPr/>
      </xdr:nvSpPr>
      <xdr:spPr>
        <a:xfrm>
          <a:off x="11039475" y="130492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333375</xdr:colOff>
      <xdr:row>7</xdr:row>
      <xdr:rowOff>114300</xdr:rowOff>
    </xdr:from>
    <xdr:to>
      <xdr:col>14</xdr:col>
      <xdr:colOff>523875</xdr:colOff>
      <xdr:row>8</xdr:row>
      <xdr:rowOff>95250</xdr:rowOff>
    </xdr:to>
    <xdr:sp macro="" textlink="">
      <xdr:nvSpPr>
        <xdr:cNvPr id="3" name="타원 2">
          <a:extLst>
            <a:ext uri="{FF2B5EF4-FFF2-40B4-BE49-F238E27FC236}">
              <a16:creationId xmlns:a16="http://schemas.microsoft.com/office/drawing/2014/main" id="{00000000-0008-0000-3D00-000003000000}"/>
            </a:ext>
          </a:extLst>
        </xdr:cNvPr>
        <xdr:cNvSpPr/>
      </xdr:nvSpPr>
      <xdr:spPr>
        <a:xfrm>
          <a:off x="11049000" y="158115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285750</xdr:colOff>
      <xdr:row>11</xdr:row>
      <xdr:rowOff>19050</xdr:rowOff>
    </xdr:from>
    <xdr:to>
      <xdr:col>14</xdr:col>
      <xdr:colOff>476250</xdr:colOff>
      <xdr:row>12</xdr:row>
      <xdr:rowOff>0</xdr:rowOff>
    </xdr:to>
    <xdr:sp macro="" textlink="">
      <xdr:nvSpPr>
        <xdr:cNvPr id="4" name="타원 3">
          <a:extLst>
            <a:ext uri="{FF2B5EF4-FFF2-40B4-BE49-F238E27FC236}">
              <a16:creationId xmlns:a16="http://schemas.microsoft.com/office/drawing/2014/main" id="{00000000-0008-0000-3D00-000004000000}"/>
            </a:ext>
          </a:extLst>
        </xdr:cNvPr>
        <xdr:cNvSpPr/>
      </xdr:nvSpPr>
      <xdr:spPr>
        <a:xfrm>
          <a:off x="11001375" y="232410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219075</xdr:colOff>
      <xdr:row>6</xdr:row>
      <xdr:rowOff>0</xdr:rowOff>
    </xdr:from>
    <xdr:to>
      <xdr:col>22</xdr:col>
      <xdr:colOff>409575</xdr:colOff>
      <xdr:row>6</xdr:row>
      <xdr:rowOff>190500</xdr:rowOff>
    </xdr:to>
    <xdr:sp macro="" textlink="">
      <xdr:nvSpPr>
        <xdr:cNvPr id="5" name="타원 4">
          <a:extLst>
            <a:ext uri="{FF2B5EF4-FFF2-40B4-BE49-F238E27FC236}">
              <a16:creationId xmlns:a16="http://schemas.microsoft.com/office/drawing/2014/main" id="{00000000-0008-0000-3D00-000005000000}"/>
            </a:ext>
          </a:extLst>
        </xdr:cNvPr>
        <xdr:cNvSpPr/>
      </xdr:nvSpPr>
      <xdr:spPr>
        <a:xfrm>
          <a:off x="16421100" y="125730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238125</xdr:colOff>
      <xdr:row>7</xdr:row>
      <xdr:rowOff>85725</xdr:rowOff>
    </xdr:from>
    <xdr:to>
      <xdr:col>22</xdr:col>
      <xdr:colOff>428625</xdr:colOff>
      <xdr:row>8</xdr:row>
      <xdr:rowOff>66675</xdr:rowOff>
    </xdr:to>
    <xdr:sp macro="" textlink="">
      <xdr:nvSpPr>
        <xdr:cNvPr id="6" name="타원 5">
          <a:extLst>
            <a:ext uri="{FF2B5EF4-FFF2-40B4-BE49-F238E27FC236}">
              <a16:creationId xmlns:a16="http://schemas.microsoft.com/office/drawing/2014/main" id="{00000000-0008-0000-3D00-000006000000}"/>
            </a:ext>
          </a:extLst>
        </xdr:cNvPr>
        <xdr:cNvSpPr/>
      </xdr:nvSpPr>
      <xdr:spPr>
        <a:xfrm>
          <a:off x="16440150" y="155257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247650</xdr:colOff>
      <xdr:row>11</xdr:row>
      <xdr:rowOff>161925</xdr:rowOff>
    </xdr:from>
    <xdr:to>
      <xdr:col>22</xdr:col>
      <xdr:colOff>438150</xdr:colOff>
      <xdr:row>12</xdr:row>
      <xdr:rowOff>142875</xdr:rowOff>
    </xdr:to>
    <xdr:sp macro="" textlink="">
      <xdr:nvSpPr>
        <xdr:cNvPr id="7" name="타원 6">
          <a:extLst>
            <a:ext uri="{FF2B5EF4-FFF2-40B4-BE49-F238E27FC236}">
              <a16:creationId xmlns:a16="http://schemas.microsoft.com/office/drawing/2014/main" id="{00000000-0008-0000-3D00-000007000000}"/>
            </a:ext>
          </a:extLst>
        </xdr:cNvPr>
        <xdr:cNvSpPr/>
      </xdr:nvSpPr>
      <xdr:spPr>
        <a:xfrm>
          <a:off x="16449675" y="246697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24</xdr:col>
      <xdr:colOff>276225</xdr:colOff>
      <xdr:row>0</xdr:row>
      <xdr:rowOff>190500</xdr:rowOff>
    </xdr:from>
    <xdr:to>
      <xdr:col>32</xdr:col>
      <xdr:colOff>334355</xdr:colOff>
      <xdr:row>9</xdr:row>
      <xdr:rowOff>125142</xdr:rowOff>
    </xdr:to>
    <xdr:pic>
      <xdr:nvPicPr>
        <xdr:cNvPr id="8" name="그림 7">
          <a:extLst>
            <a:ext uri="{FF2B5EF4-FFF2-40B4-BE49-F238E27FC236}">
              <a16:creationId xmlns:a16="http://schemas.microsoft.com/office/drawing/2014/main" id="{00000000-0008-0000-3D00-000008000000}"/>
            </a:ext>
          </a:extLst>
        </xdr:cNvPr>
        <xdr:cNvPicPr>
          <a:picLocks noChangeAspect="1"/>
        </xdr:cNvPicPr>
      </xdr:nvPicPr>
      <xdr:blipFill>
        <a:blip xmlns:r="http://schemas.openxmlformats.org/officeDocument/2006/relationships" r:embed="rId1"/>
        <a:stretch>
          <a:fillRect/>
        </a:stretch>
      </xdr:blipFill>
      <xdr:spPr>
        <a:xfrm>
          <a:off x="17849850" y="190500"/>
          <a:ext cx="5544530" cy="1820592"/>
        </a:xfrm>
        <a:prstGeom prst="rect">
          <a:avLst/>
        </a:prstGeom>
      </xdr:spPr>
    </xdr:pic>
    <xdr:clientData/>
  </xdr:twoCellAnchor>
  <xdr:twoCellAnchor editAs="oneCell">
    <xdr:from>
      <xdr:col>32</xdr:col>
      <xdr:colOff>578849</xdr:colOff>
      <xdr:row>0</xdr:row>
      <xdr:rowOff>47625</xdr:rowOff>
    </xdr:from>
    <xdr:to>
      <xdr:col>37</xdr:col>
      <xdr:colOff>218548</xdr:colOff>
      <xdr:row>12</xdr:row>
      <xdr:rowOff>68643</xdr:rowOff>
    </xdr:to>
    <xdr:pic>
      <xdr:nvPicPr>
        <xdr:cNvPr id="9" name="그림 8">
          <a:extLst>
            <a:ext uri="{FF2B5EF4-FFF2-40B4-BE49-F238E27FC236}">
              <a16:creationId xmlns:a16="http://schemas.microsoft.com/office/drawing/2014/main" id="{00000000-0008-0000-3D00-000009000000}"/>
            </a:ext>
          </a:extLst>
        </xdr:cNvPr>
        <xdr:cNvPicPr>
          <a:picLocks noChangeAspect="1"/>
        </xdr:cNvPicPr>
      </xdr:nvPicPr>
      <xdr:blipFill>
        <a:blip xmlns:r="http://schemas.openxmlformats.org/officeDocument/2006/relationships" r:embed="rId2"/>
        <a:stretch>
          <a:fillRect/>
        </a:stretch>
      </xdr:blipFill>
      <xdr:spPr>
        <a:xfrm>
          <a:off x="23638874" y="47625"/>
          <a:ext cx="3068699" cy="2535618"/>
        </a:xfrm>
        <a:prstGeom prst="rect">
          <a:avLst/>
        </a:prstGeom>
      </xdr:spPr>
    </xdr:pic>
    <xdr:clientData/>
  </xdr:twoCellAnchor>
  <xdr:twoCellAnchor>
    <xdr:from>
      <xdr:col>28</xdr:col>
      <xdr:colOff>180975</xdr:colOff>
      <xdr:row>10</xdr:row>
      <xdr:rowOff>123825</xdr:rowOff>
    </xdr:from>
    <xdr:to>
      <xdr:col>28</xdr:col>
      <xdr:colOff>371475</xdr:colOff>
      <xdr:row>11</xdr:row>
      <xdr:rowOff>104775</xdr:rowOff>
    </xdr:to>
    <xdr:sp macro="" textlink="">
      <xdr:nvSpPr>
        <xdr:cNvPr id="10" name="타원 9">
          <a:extLst>
            <a:ext uri="{FF2B5EF4-FFF2-40B4-BE49-F238E27FC236}">
              <a16:creationId xmlns:a16="http://schemas.microsoft.com/office/drawing/2014/main" id="{00000000-0008-0000-3D00-00000A000000}"/>
            </a:ext>
          </a:extLst>
        </xdr:cNvPr>
        <xdr:cNvSpPr/>
      </xdr:nvSpPr>
      <xdr:spPr>
        <a:xfrm>
          <a:off x="20497800" y="221932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4.xml><?xml version="1.0" encoding="utf-8"?>
<xdr:wsDr xmlns:xdr="http://schemas.openxmlformats.org/drawingml/2006/spreadsheetDrawing" xmlns:a="http://schemas.openxmlformats.org/drawingml/2006/main">
  <xdr:twoCellAnchor>
    <xdr:from>
      <xdr:col>14</xdr:col>
      <xdr:colOff>323850</xdr:colOff>
      <xdr:row>6</xdr:row>
      <xdr:rowOff>47625</xdr:rowOff>
    </xdr:from>
    <xdr:to>
      <xdr:col>14</xdr:col>
      <xdr:colOff>514350</xdr:colOff>
      <xdr:row>7</xdr:row>
      <xdr:rowOff>28575</xdr:rowOff>
    </xdr:to>
    <xdr:sp macro="" textlink="">
      <xdr:nvSpPr>
        <xdr:cNvPr id="2" name="타원 1">
          <a:extLst>
            <a:ext uri="{FF2B5EF4-FFF2-40B4-BE49-F238E27FC236}">
              <a16:creationId xmlns:a16="http://schemas.microsoft.com/office/drawing/2014/main" id="{00000000-0008-0000-3E00-000002000000}"/>
            </a:ext>
          </a:extLst>
        </xdr:cNvPr>
        <xdr:cNvSpPr/>
      </xdr:nvSpPr>
      <xdr:spPr>
        <a:xfrm>
          <a:off x="11039475" y="130492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333375</xdr:colOff>
      <xdr:row>7</xdr:row>
      <xdr:rowOff>114300</xdr:rowOff>
    </xdr:from>
    <xdr:to>
      <xdr:col>14</xdr:col>
      <xdr:colOff>523875</xdr:colOff>
      <xdr:row>8</xdr:row>
      <xdr:rowOff>95250</xdr:rowOff>
    </xdr:to>
    <xdr:sp macro="" textlink="">
      <xdr:nvSpPr>
        <xdr:cNvPr id="3" name="타원 2">
          <a:extLst>
            <a:ext uri="{FF2B5EF4-FFF2-40B4-BE49-F238E27FC236}">
              <a16:creationId xmlns:a16="http://schemas.microsoft.com/office/drawing/2014/main" id="{00000000-0008-0000-3E00-000003000000}"/>
            </a:ext>
          </a:extLst>
        </xdr:cNvPr>
        <xdr:cNvSpPr/>
      </xdr:nvSpPr>
      <xdr:spPr>
        <a:xfrm>
          <a:off x="11049000" y="158115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285750</xdr:colOff>
      <xdr:row>11</xdr:row>
      <xdr:rowOff>19050</xdr:rowOff>
    </xdr:from>
    <xdr:to>
      <xdr:col>14</xdr:col>
      <xdr:colOff>476250</xdr:colOff>
      <xdr:row>12</xdr:row>
      <xdr:rowOff>0</xdr:rowOff>
    </xdr:to>
    <xdr:sp macro="" textlink="">
      <xdr:nvSpPr>
        <xdr:cNvPr id="4" name="타원 3">
          <a:extLst>
            <a:ext uri="{FF2B5EF4-FFF2-40B4-BE49-F238E27FC236}">
              <a16:creationId xmlns:a16="http://schemas.microsoft.com/office/drawing/2014/main" id="{00000000-0008-0000-3E00-000004000000}"/>
            </a:ext>
          </a:extLst>
        </xdr:cNvPr>
        <xdr:cNvSpPr/>
      </xdr:nvSpPr>
      <xdr:spPr>
        <a:xfrm>
          <a:off x="11001375" y="232410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17</xdr:col>
      <xdr:colOff>616949</xdr:colOff>
      <xdr:row>5</xdr:row>
      <xdr:rowOff>9525</xdr:rowOff>
    </xdr:from>
    <xdr:to>
      <xdr:col>22</xdr:col>
      <xdr:colOff>256648</xdr:colOff>
      <xdr:row>17</xdr:row>
      <xdr:rowOff>30543</xdr:rowOff>
    </xdr:to>
    <xdr:pic>
      <xdr:nvPicPr>
        <xdr:cNvPr id="9" name="그림 8">
          <a:extLst>
            <a:ext uri="{FF2B5EF4-FFF2-40B4-BE49-F238E27FC236}">
              <a16:creationId xmlns:a16="http://schemas.microsoft.com/office/drawing/2014/main" id="{00000000-0008-0000-3E00-000009000000}"/>
            </a:ext>
          </a:extLst>
        </xdr:cNvPr>
        <xdr:cNvPicPr>
          <a:picLocks noChangeAspect="1"/>
        </xdr:cNvPicPr>
      </xdr:nvPicPr>
      <xdr:blipFill>
        <a:blip xmlns:r="http://schemas.openxmlformats.org/officeDocument/2006/relationships" r:embed="rId1"/>
        <a:stretch>
          <a:fillRect/>
        </a:stretch>
      </xdr:blipFill>
      <xdr:spPr>
        <a:xfrm>
          <a:off x="14532974" y="1057275"/>
          <a:ext cx="3068699" cy="2535618"/>
        </a:xfrm>
        <a:prstGeom prst="rect">
          <a:avLst/>
        </a:prstGeom>
      </xdr:spPr>
    </xdr:pic>
    <xdr:clientData/>
  </xdr:twoCellAnchor>
</xdr:wsDr>
</file>

<file path=xl/drawings/drawing55.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17</xdr:col>
      <xdr:colOff>372963</xdr:colOff>
      <xdr:row>23</xdr:row>
      <xdr:rowOff>152977</xdr:rowOff>
    </xdr:to>
    <xdr:pic>
      <xdr:nvPicPr>
        <xdr:cNvPr id="2" name="그림 1">
          <a:extLst>
            <a:ext uri="{FF2B5EF4-FFF2-40B4-BE49-F238E27FC236}">
              <a16:creationId xmlns:a16="http://schemas.microsoft.com/office/drawing/2014/main" id="{00000000-0008-0000-3F00-000002000000}"/>
            </a:ext>
          </a:extLst>
        </xdr:cNvPr>
        <xdr:cNvPicPr>
          <a:picLocks noChangeAspect="1"/>
        </xdr:cNvPicPr>
      </xdr:nvPicPr>
      <xdr:blipFill>
        <a:blip xmlns:r="http://schemas.openxmlformats.org/officeDocument/2006/relationships" r:embed="rId1"/>
        <a:stretch>
          <a:fillRect/>
        </a:stretch>
      </xdr:blipFill>
      <xdr:spPr>
        <a:xfrm>
          <a:off x="1371600" y="838200"/>
          <a:ext cx="10659963" cy="4134427"/>
        </a:xfrm>
        <a:prstGeom prst="rect">
          <a:avLst/>
        </a:prstGeom>
      </xdr:spPr>
    </xdr:pic>
    <xdr:clientData/>
  </xdr:twoCellAnchor>
</xdr:wsDr>
</file>

<file path=xl/drawings/drawing56.xml><?xml version="1.0" encoding="utf-8"?>
<xdr:wsDr xmlns:xdr="http://schemas.openxmlformats.org/drawingml/2006/spreadsheetDrawing" xmlns:a="http://schemas.openxmlformats.org/drawingml/2006/main">
  <xdr:twoCellAnchor>
    <xdr:from>
      <xdr:col>9</xdr:col>
      <xdr:colOff>209550</xdr:colOff>
      <xdr:row>2</xdr:row>
      <xdr:rowOff>142875</xdr:rowOff>
    </xdr:from>
    <xdr:to>
      <xdr:col>9</xdr:col>
      <xdr:colOff>514350</xdr:colOff>
      <xdr:row>4</xdr:row>
      <xdr:rowOff>19050</xdr:rowOff>
    </xdr:to>
    <xdr:sp macro="" textlink="">
      <xdr:nvSpPr>
        <xdr:cNvPr id="2" name="타원 1">
          <a:extLst>
            <a:ext uri="{FF2B5EF4-FFF2-40B4-BE49-F238E27FC236}">
              <a16:creationId xmlns:a16="http://schemas.microsoft.com/office/drawing/2014/main" id="{00000000-0008-0000-4100-000002000000}"/>
            </a:ext>
          </a:extLst>
        </xdr:cNvPr>
        <xdr:cNvSpPr/>
      </xdr:nvSpPr>
      <xdr:spPr>
        <a:xfrm>
          <a:off x="5476875"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4</xdr:row>
      <xdr:rowOff>142875</xdr:rowOff>
    </xdr:from>
    <xdr:to>
      <xdr:col>9</xdr:col>
      <xdr:colOff>523875</xdr:colOff>
      <xdr:row>6</xdr:row>
      <xdr:rowOff>19050</xdr:rowOff>
    </xdr:to>
    <xdr:sp macro="" textlink="">
      <xdr:nvSpPr>
        <xdr:cNvPr id="3" name="타원 2">
          <a:extLst>
            <a:ext uri="{FF2B5EF4-FFF2-40B4-BE49-F238E27FC236}">
              <a16:creationId xmlns:a16="http://schemas.microsoft.com/office/drawing/2014/main" id="{00000000-0008-0000-4100-000003000000}"/>
            </a:ext>
          </a:extLst>
        </xdr:cNvPr>
        <xdr:cNvSpPr/>
      </xdr:nvSpPr>
      <xdr:spPr>
        <a:xfrm>
          <a:off x="54864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00000000-0008-0000-4100-000004000000}"/>
                </a:ext>
              </a:extLst>
            </xdr:cNvPr>
            <xdr:cNvSpPr txBox="1"/>
          </xdr:nvSpPr>
          <xdr:spPr>
            <a:xfrm>
              <a:off x="55197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4" name="TextBox 3"/>
            <xdr:cNvSpPr txBox="1"/>
          </xdr:nvSpPr>
          <xdr:spPr>
            <a:xfrm>
              <a:off x="55197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9</xdr:col>
      <xdr:colOff>238125</xdr:colOff>
      <xdr:row>11</xdr:row>
      <xdr:rowOff>28575</xdr:rowOff>
    </xdr:from>
    <xdr:to>
      <xdr:col>9</xdr:col>
      <xdr:colOff>542925</xdr:colOff>
      <xdr:row>12</xdr:row>
      <xdr:rowOff>114300</xdr:rowOff>
    </xdr:to>
    <xdr:sp macro="" textlink="">
      <xdr:nvSpPr>
        <xdr:cNvPr id="5" name="타원 4">
          <a:extLst>
            <a:ext uri="{FF2B5EF4-FFF2-40B4-BE49-F238E27FC236}">
              <a16:creationId xmlns:a16="http://schemas.microsoft.com/office/drawing/2014/main" id="{00000000-0008-0000-4100-000005000000}"/>
            </a:ext>
          </a:extLst>
        </xdr:cNvPr>
        <xdr:cNvSpPr/>
      </xdr:nvSpPr>
      <xdr:spPr>
        <a:xfrm>
          <a:off x="5505450"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46977</xdr:colOff>
      <xdr:row>15</xdr:row>
      <xdr:rowOff>72839</xdr:rowOff>
    </xdr:from>
    <xdr:to>
      <xdr:col>8</xdr:col>
      <xdr:colOff>472311</xdr:colOff>
      <xdr:row>40</xdr:row>
      <xdr:rowOff>131041</xdr:rowOff>
    </xdr:to>
    <xdr:pic>
      <xdr:nvPicPr>
        <xdr:cNvPr id="6" name="그림 5">
          <a:extLst>
            <a:ext uri="{FF2B5EF4-FFF2-40B4-BE49-F238E27FC236}">
              <a16:creationId xmlns:a16="http://schemas.microsoft.com/office/drawing/2014/main" id="{00000000-0008-0000-4100-000006000000}"/>
            </a:ext>
          </a:extLst>
        </xdr:cNvPr>
        <xdr:cNvPicPr>
          <a:picLocks noChangeAspect="1"/>
        </xdr:cNvPicPr>
      </xdr:nvPicPr>
      <xdr:blipFill>
        <a:blip xmlns:r="http://schemas.openxmlformats.org/officeDocument/2006/relationships" r:embed="rId1"/>
        <a:stretch>
          <a:fillRect/>
        </a:stretch>
      </xdr:blipFill>
      <xdr:spPr>
        <a:xfrm>
          <a:off x="46977" y="3266515"/>
          <a:ext cx="5680893" cy="5504261"/>
        </a:xfrm>
        <a:prstGeom prst="rect">
          <a:avLst/>
        </a:prstGeom>
      </xdr:spPr>
    </xdr:pic>
    <xdr:clientData/>
  </xdr:twoCellAnchor>
  <xdr:twoCellAnchor>
    <xdr:from>
      <xdr:col>9</xdr:col>
      <xdr:colOff>507813</xdr:colOff>
      <xdr:row>1</xdr:row>
      <xdr:rowOff>95250</xdr:rowOff>
    </xdr:from>
    <xdr:to>
      <xdr:col>11</xdr:col>
      <xdr:colOff>95250</xdr:colOff>
      <xdr:row>3</xdr:row>
      <xdr:rowOff>204408</xdr:rowOff>
    </xdr:to>
    <xdr:cxnSp macro="">
      <xdr:nvCxnSpPr>
        <xdr:cNvPr id="8" name="직선 연결선 7">
          <a:extLst>
            <a:ext uri="{FF2B5EF4-FFF2-40B4-BE49-F238E27FC236}">
              <a16:creationId xmlns:a16="http://schemas.microsoft.com/office/drawing/2014/main" id="{00000000-0008-0000-4100-000008000000}"/>
            </a:ext>
          </a:extLst>
        </xdr:cNvPr>
        <xdr:cNvCxnSpPr/>
      </xdr:nvCxnSpPr>
      <xdr:spPr>
        <a:xfrm flipV="1">
          <a:off x="6460938"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469713</xdr:colOff>
      <xdr:row>1</xdr:row>
      <xdr:rowOff>123825</xdr:rowOff>
    </xdr:from>
    <xdr:to>
      <xdr:col>12</xdr:col>
      <xdr:colOff>171450</xdr:colOff>
      <xdr:row>3</xdr:row>
      <xdr:rowOff>185358</xdr:rowOff>
    </xdr:to>
    <xdr:cxnSp macro="">
      <xdr:nvCxnSpPr>
        <xdr:cNvPr id="9" name="직선 연결선 8">
          <a:extLst>
            <a:ext uri="{FF2B5EF4-FFF2-40B4-BE49-F238E27FC236}">
              <a16:creationId xmlns:a16="http://schemas.microsoft.com/office/drawing/2014/main" id="{00000000-0008-0000-4100-000009000000}"/>
            </a:ext>
          </a:extLst>
        </xdr:cNvPr>
        <xdr:cNvCxnSpPr>
          <a:stCxn id="2" idx="5"/>
        </xdr:cNvCxnSpPr>
      </xdr:nvCxnSpPr>
      <xdr:spPr>
        <a:xfrm flipV="1">
          <a:off x="6422838" y="333375"/>
          <a:ext cx="14162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1</xdr:row>
      <xdr:rowOff>66675</xdr:rowOff>
    </xdr:from>
    <xdr:to>
      <xdr:col>13</xdr:col>
      <xdr:colOff>266700</xdr:colOff>
      <xdr:row>3</xdr:row>
      <xdr:rowOff>161925</xdr:rowOff>
    </xdr:to>
    <xdr:cxnSp macro="">
      <xdr:nvCxnSpPr>
        <xdr:cNvPr id="11" name="직선 연결선 10">
          <a:extLst>
            <a:ext uri="{FF2B5EF4-FFF2-40B4-BE49-F238E27FC236}">
              <a16:creationId xmlns:a16="http://schemas.microsoft.com/office/drawing/2014/main" id="{00000000-0008-0000-4100-00000B000000}"/>
            </a:ext>
          </a:extLst>
        </xdr:cNvPr>
        <xdr:cNvCxnSpPr/>
      </xdr:nvCxnSpPr>
      <xdr:spPr>
        <a:xfrm flipV="1">
          <a:off x="6543675" y="276225"/>
          <a:ext cx="17335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209550</xdr:colOff>
      <xdr:row>2</xdr:row>
      <xdr:rowOff>142875</xdr:rowOff>
    </xdr:from>
    <xdr:to>
      <xdr:col>27</xdr:col>
      <xdr:colOff>514350</xdr:colOff>
      <xdr:row>4</xdr:row>
      <xdr:rowOff>19050</xdr:rowOff>
    </xdr:to>
    <xdr:sp macro="" textlink="">
      <xdr:nvSpPr>
        <xdr:cNvPr id="16" name="타원 15">
          <a:extLst>
            <a:ext uri="{FF2B5EF4-FFF2-40B4-BE49-F238E27FC236}">
              <a16:creationId xmlns:a16="http://schemas.microsoft.com/office/drawing/2014/main" id="{00000000-0008-0000-4100-000010000000}"/>
            </a:ext>
          </a:extLst>
        </xdr:cNvPr>
        <xdr:cNvSpPr/>
      </xdr:nvSpPr>
      <xdr:spPr>
        <a:xfrm>
          <a:off x="6162675"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219075</xdr:colOff>
      <xdr:row>4</xdr:row>
      <xdr:rowOff>142875</xdr:rowOff>
    </xdr:from>
    <xdr:to>
      <xdr:col>27</xdr:col>
      <xdr:colOff>523875</xdr:colOff>
      <xdr:row>6</xdr:row>
      <xdr:rowOff>19050</xdr:rowOff>
    </xdr:to>
    <xdr:sp macro="" textlink="">
      <xdr:nvSpPr>
        <xdr:cNvPr id="17" name="타원 16">
          <a:extLst>
            <a:ext uri="{FF2B5EF4-FFF2-40B4-BE49-F238E27FC236}">
              <a16:creationId xmlns:a16="http://schemas.microsoft.com/office/drawing/2014/main" id="{00000000-0008-0000-4100-000011000000}"/>
            </a:ext>
          </a:extLst>
        </xdr:cNvPr>
        <xdr:cNvSpPr/>
      </xdr:nvSpPr>
      <xdr:spPr>
        <a:xfrm>
          <a:off x="61722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27</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00000000-0008-0000-4100-000012000000}"/>
                </a:ext>
              </a:extLst>
            </xdr:cNvPr>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8" name="TextBox 17"/>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27</xdr:col>
      <xdr:colOff>238125</xdr:colOff>
      <xdr:row>11</xdr:row>
      <xdr:rowOff>28575</xdr:rowOff>
    </xdr:from>
    <xdr:to>
      <xdr:col>27</xdr:col>
      <xdr:colOff>542925</xdr:colOff>
      <xdr:row>12</xdr:row>
      <xdr:rowOff>114300</xdr:rowOff>
    </xdr:to>
    <xdr:sp macro="" textlink="">
      <xdr:nvSpPr>
        <xdr:cNvPr id="19" name="타원 18">
          <a:extLst>
            <a:ext uri="{FF2B5EF4-FFF2-40B4-BE49-F238E27FC236}">
              <a16:creationId xmlns:a16="http://schemas.microsoft.com/office/drawing/2014/main" id="{00000000-0008-0000-4100-000013000000}"/>
            </a:ext>
          </a:extLst>
        </xdr:cNvPr>
        <xdr:cNvSpPr/>
      </xdr:nvSpPr>
      <xdr:spPr>
        <a:xfrm>
          <a:off x="6191250"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507813</xdr:colOff>
      <xdr:row>1</xdr:row>
      <xdr:rowOff>95250</xdr:rowOff>
    </xdr:from>
    <xdr:to>
      <xdr:col>29</xdr:col>
      <xdr:colOff>95250</xdr:colOff>
      <xdr:row>3</xdr:row>
      <xdr:rowOff>204408</xdr:rowOff>
    </xdr:to>
    <xdr:cxnSp macro="">
      <xdr:nvCxnSpPr>
        <xdr:cNvPr id="20" name="직선 연결선 19">
          <a:extLst>
            <a:ext uri="{FF2B5EF4-FFF2-40B4-BE49-F238E27FC236}">
              <a16:creationId xmlns:a16="http://schemas.microsoft.com/office/drawing/2014/main" id="{00000000-0008-0000-4100-000014000000}"/>
            </a:ext>
          </a:extLst>
        </xdr:cNvPr>
        <xdr:cNvCxnSpPr/>
      </xdr:nvCxnSpPr>
      <xdr:spPr>
        <a:xfrm flipV="1">
          <a:off x="6460938"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469713</xdr:colOff>
      <xdr:row>1</xdr:row>
      <xdr:rowOff>123825</xdr:rowOff>
    </xdr:from>
    <xdr:to>
      <xdr:col>30</xdr:col>
      <xdr:colOff>171450</xdr:colOff>
      <xdr:row>3</xdr:row>
      <xdr:rowOff>185358</xdr:rowOff>
    </xdr:to>
    <xdr:cxnSp macro="">
      <xdr:nvCxnSpPr>
        <xdr:cNvPr id="21" name="직선 연결선 20">
          <a:extLst>
            <a:ext uri="{FF2B5EF4-FFF2-40B4-BE49-F238E27FC236}">
              <a16:creationId xmlns:a16="http://schemas.microsoft.com/office/drawing/2014/main" id="{00000000-0008-0000-4100-000015000000}"/>
            </a:ext>
          </a:extLst>
        </xdr:cNvPr>
        <xdr:cNvCxnSpPr>
          <a:stCxn id="16" idx="5"/>
        </xdr:cNvCxnSpPr>
      </xdr:nvCxnSpPr>
      <xdr:spPr>
        <a:xfrm flipV="1">
          <a:off x="6422838" y="333375"/>
          <a:ext cx="14162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590550</xdr:colOff>
      <xdr:row>1</xdr:row>
      <xdr:rowOff>66675</xdr:rowOff>
    </xdr:from>
    <xdr:to>
      <xdr:col>31</xdr:col>
      <xdr:colOff>266700</xdr:colOff>
      <xdr:row>3</xdr:row>
      <xdr:rowOff>161925</xdr:rowOff>
    </xdr:to>
    <xdr:cxnSp macro="">
      <xdr:nvCxnSpPr>
        <xdr:cNvPr id="22" name="직선 연결선 21">
          <a:extLst>
            <a:ext uri="{FF2B5EF4-FFF2-40B4-BE49-F238E27FC236}">
              <a16:creationId xmlns:a16="http://schemas.microsoft.com/office/drawing/2014/main" id="{00000000-0008-0000-4100-000016000000}"/>
            </a:ext>
          </a:extLst>
        </xdr:cNvPr>
        <xdr:cNvCxnSpPr/>
      </xdr:nvCxnSpPr>
      <xdr:spPr>
        <a:xfrm flipV="1">
          <a:off x="6543675" y="276225"/>
          <a:ext cx="17335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314325</xdr:colOff>
      <xdr:row>9</xdr:row>
      <xdr:rowOff>114300</xdr:rowOff>
    </xdr:from>
    <xdr:to>
      <xdr:col>28</xdr:col>
      <xdr:colOff>190500</xdr:colOff>
      <xdr:row>15</xdr:row>
      <xdr:rowOff>95250</xdr:rowOff>
    </xdr:to>
    <xdr:cxnSp macro="">
      <xdr:nvCxnSpPr>
        <xdr:cNvPr id="24" name="직선 화살표 연결선 23">
          <a:extLst>
            <a:ext uri="{FF2B5EF4-FFF2-40B4-BE49-F238E27FC236}">
              <a16:creationId xmlns:a16="http://schemas.microsoft.com/office/drawing/2014/main" id="{00000000-0008-0000-4100-000018000000}"/>
            </a:ext>
          </a:extLst>
        </xdr:cNvPr>
        <xdr:cNvCxnSpPr/>
      </xdr:nvCxnSpPr>
      <xdr:spPr>
        <a:xfrm flipH="1">
          <a:off x="14887575" y="2000250"/>
          <a:ext cx="2066925" cy="1238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209550</xdr:colOff>
      <xdr:row>2</xdr:row>
      <xdr:rowOff>142875</xdr:rowOff>
    </xdr:from>
    <xdr:to>
      <xdr:col>42</xdr:col>
      <xdr:colOff>514350</xdr:colOff>
      <xdr:row>4</xdr:row>
      <xdr:rowOff>19050</xdr:rowOff>
    </xdr:to>
    <xdr:sp macro="" textlink="">
      <xdr:nvSpPr>
        <xdr:cNvPr id="25" name="타원 24">
          <a:extLst>
            <a:ext uri="{FF2B5EF4-FFF2-40B4-BE49-F238E27FC236}">
              <a16:creationId xmlns:a16="http://schemas.microsoft.com/office/drawing/2014/main" id="{00000000-0008-0000-4100-000019000000}"/>
            </a:ext>
          </a:extLst>
        </xdr:cNvPr>
        <xdr:cNvSpPr/>
      </xdr:nvSpPr>
      <xdr:spPr>
        <a:xfrm>
          <a:off x="162877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219075</xdr:colOff>
      <xdr:row>4</xdr:row>
      <xdr:rowOff>142875</xdr:rowOff>
    </xdr:from>
    <xdr:to>
      <xdr:col>42</xdr:col>
      <xdr:colOff>523875</xdr:colOff>
      <xdr:row>6</xdr:row>
      <xdr:rowOff>19050</xdr:rowOff>
    </xdr:to>
    <xdr:sp macro="" textlink="">
      <xdr:nvSpPr>
        <xdr:cNvPr id="26" name="타원 25">
          <a:extLst>
            <a:ext uri="{FF2B5EF4-FFF2-40B4-BE49-F238E27FC236}">
              <a16:creationId xmlns:a16="http://schemas.microsoft.com/office/drawing/2014/main" id="{00000000-0008-0000-4100-00001A000000}"/>
            </a:ext>
          </a:extLst>
        </xdr:cNvPr>
        <xdr:cNvSpPr/>
      </xdr:nvSpPr>
      <xdr:spPr>
        <a:xfrm>
          <a:off x="162972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00000000-0008-0000-4100-00001B000000}"/>
                </a:ext>
              </a:extLst>
            </xdr:cNvPr>
            <xdr:cNvSpPr txBox="1"/>
          </xdr:nvSpPr>
          <xdr:spPr>
            <a:xfrm>
              <a:off x="16330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7" name="TextBox 26"/>
            <xdr:cNvSpPr txBox="1"/>
          </xdr:nvSpPr>
          <xdr:spPr>
            <a:xfrm>
              <a:off x="16330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42</xdr:col>
      <xdr:colOff>238125</xdr:colOff>
      <xdr:row>11</xdr:row>
      <xdr:rowOff>28575</xdr:rowOff>
    </xdr:from>
    <xdr:to>
      <xdr:col>42</xdr:col>
      <xdr:colOff>542925</xdr:colOff>
      <xdr:row>12</xdr:row>
      <xdr:rowOff>114300</xdr:rowOff>
    </xdr:to>
    <xdr:sp macro="" textlink="">
      <xdr:nvSpPr>
        <xdr:cNvPr id="28" name="타원 27">
          <a:extLst>
            <a:ext uri="{FF2B5EF4-FFF2-40B4-BE49-F238E27FC236}">
              <a16:creationId xmlns:a16="http://schemas.microsoft.com/office/drawing/2014/main" id="{00000000-0008-0000-4100-00001C000000}"/>
            </a:ext>
          </a:extLst>
        </xdr:cNvPr>
        <xdr:cNvSpPr/>
      </xdr:nvSpPr>
      <xdr:spPr>
        <a:xfrm>
          <a:off x="163163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507813</xdr:colOff>
      <xdr:row>1</xdr:row>
      <xdr:rowOff>95250</xdr:rowOff>
    </xdr:from>
    <xdr:to>
      <xdr:col>44</xdr:col>
      <xdr:colOff>95250</xdr:colOff>
      <xdr:row>3</xdr:row>
      <xdr:rowOff>204408</xdr:rowOff>
    </xdr:to>
    <xdr:cxnSp macro="">
      <xdr:nvCxnSpPr>
        <xdr:cNvPr id="29" name="직선 연결선 28">
          <a:extLst>
            <a:ext uri="{FF2B5EF4-FFF2-40B4-BE49-F238E27FC236}">
              <a16:creationId xmlns:a16="http://schemas.microsoft.com/office/drawing/2014/main" id="{00000000-0008-0000-4100-00001D000000}"/>
            </a:ext>
          </a:extLst>
        </xdr:cNvPr>
        <xdr:cNvCxnSpPr/>
      </xdr:nvCxnSpPr>
      <xdr:spPr>
        <a:xfrm flipV="1">
          <a:off x="165860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469713</xdr:colOff>
      <xdr:row>1</xdr:row>
      <xdr:rowOff>123825</xdr:rowOff>
    </xdr:from>
    <xdr:to>
      <xdr:col>45</xdr:col>
      <xdr:colOff>171450</xdr:colOff>
      <xdr:row>3</xdr:row>
      <xdr:rowOff>185358</xdr:rowOff>
    </xdr:to>
    <xdr:cxnSp macro="">
      <xdr:nvCxnSpPr>
        <xdr:cNvPr id="30" name="직선 연결선 29">
          <a:extLst>
            <a:ext uri="{FF2B5EF4-FFF2-40B4-BE49-F238E27FC236}">
              <a16:creationId xmlns:a16="http://schemas.microsoft.com/office/drawing/2014/main" id="{00000000-0008-0000-4100-00001E000000}"/>
            </a:ext>
          </a:extLst>
        </xdr:cNvPr>
        <xdr:cNvCxnSpPr>
          <a:stCxn id="25" idx="5"/>
        </xdr:cNvCxnSpPr>
      </xdr:nvCxnSpPr>
      <xdr:spPr>
        <a:xfrm flipV="1">
          <a:off x="165479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590550</xdr:colOff>
      <xdr:row>1</xdr:row>
      <xdr:rowOff>66675</xdr:rowOff>
    </xdr:from>
    <xdr:to>
      <xdr:col>46</xdr:col>
      <xdr:colOff>266700</xdr:colOff>
      <xdr:row>3</xdr:row>
      <xdr:rowOff>161925</xdr:rowOff>
    </xdr:to>
    <xdr:cxnSp macro="">
      <xdr:nvCxnSpPr>
        <xdr:cNvPr id="31" name="직선 연결선 30">
          <a:extLst>
            <a:ext uri="{FF2B5EF4-FFF2-40B4-BE49-F238E27FC236}">
              <a16:creationId xmlns:a16="http://schemas.microsoft.com/office/drawing/2014/main" id="{00000000-0008-0000-4100-00001F000000}"/>
            </a:ext>
          </a:extLst>
        </xdr:cNvPr>
        <xdr:cNvCxnSpPr/>
      </xdr:nvCxnSpPr>
      <xdr:spPr>
        <a:xfrm flipV="1">
          <a:off x="166687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51</xdr:col>
      <xdr:colOff>0</xdr:colOff>
      <xdr:row>2</xdr:row>
      <xdr:rowOff>0</xdr:rowOff>
    </xdr:from>
    <xdr:to>
      <xdr:col>61</xdr:col>
      <xdr:colOff>362958</xdr:colOff>
      <xdr:row>11</xdr:row>
      <xdr:rowOff>66948</xdr:rowOff>
    </xdr:to>
    <xdr:pic>
      <xdr:nvPicPr>
        <xdr:cNvPr id="32" name="그림 31">
          <a:extLst>
            <a:ext uri="{FF2B5EF4-FFF2-40B4-BE49-F238E27FC236}">
              <a16:creationId xmlns:a16="http://schemas.microsoft.com/office/drawing/2014/main" id="{00000000-0008-0000-4100-000020000000}"/>
            </a:ext>
          </a:extLst>
        </xdr:cNvPr>
        <xdr:cNvPicPr>
          <a:picLocks noChangeAspect="1"/>
        </xdr:cNvPicPr>
      </xdr:nvPicPr>
      <xdr:blipFill>
        <a:blip xmlns:r="http://schemas.openxmlformats.org/officeDocument/2006/relationships" r:embed="rId2"/>
        <a:stretch>
          <a:fillRect/>
        </a:stretch>
      </xdr:blipFill>
      <xdr:spPr>
        <a:xfrm>
          <a:off x="31489650" y="419100"/>
          <a:ext cx="7220958" cy="1952898"/>
        </a:xfrm>
        <a:prstGeom prst="rect">
          <a:avLst/>
        </a:prstGeom>
      </xdr:spPr>
    </xdr:pic>
    <xdr:clientData/>
  </xdr:twoCellAnchor>
  <xdr:twoCellAnchor>
    <xdr:from>
      <xdr:col>68</xdr:col>
      <xdr:colOff>209550</xdr:colOff>
      <xdr:row>4</xdr:row>
      <xdr:rowOff>142875</xdr:rowOff>
    </xdr:from>
    <xdr:to>
      <xdr:col>68</xdr:col>
      <xdr:colOff>514350</xdr:colOff>
      <xdr:row>6</xdr:row>
      <xdr:rowOff>19050</xdr:rowOff>
    </xdr:to>
    <xdr:sp macro="" textlink="">
      <xdr:nvSpPr>
        <xdr:cNvPr id="37" name="타원 36">
          <a:extLst>
            <a:ext uri="{FF2B5EF4-FFF2-40B4-BE49-F238E27FC236}">
              <a16:creationId xmlns:a16="http://schemas.microsoft.com/office/drawing/2014/main" id="{00000000-0008-0000-4100-000025000000}"/>
            </a:ext>
          </a:extLst>
        </xdr:cNvPr>
        <xdr:cNvSpPr/>
      </xdr:nvSpPr>
      <xdr:spPr>
        <a:xfrm>
          <a:off x="2552700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68</xdr:col>
      <xdr:colOff>219075</xdr:colOff>
      <xdr:row>6</xdr:row>
      <xdr:rowOff>142875</xdr:rowOff>
    </xdr:from>
    <xdr:to>
      <xdr:col>68</xdr:col>
      <xdr:colOff>523875</xdr:colOff>
      <xdr:row>8</xdr:row>
      <xdr:rowOff>19050</xdr:rowOff>
    </xdr:to>
    <xdr:sp macro="" textlink="">
      <xdr:nvSpPr>
        <xdr:cNvPr id="38" name="타원 37">
          <a:extLst>
            <a:ext uri="{FF2B5EF4-FFF2-40B4-BE49-F238E27FC236}">
              <a16:creationId xmlns:a16="http://schemas.microsoft.com/office/drawing/2014/main" id="{00000000-0008-0000-4100-000026000000}"/>
            </a:ext>
          </a:extLst>
        </xdr:cNvPr>
        <xdr:cNvSpPr/>
      </xdr:nvSpPr>
      <xdr:spPr>
        <a:xfrm>
          <a:off x="2553652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68</xdr:col>
      <xdr:colOff>252412</xdr:colOff>
      <xdr:row>8</xdr:row>
      <xdr:rowOff>42862</xdr:rowOff>
    </xdr:from>
    <xdr:ext cx="302775" cy="68877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0000000-0008-0000-4100-000027000000}"/>
                </a:ext>
              </a:extLst>
            </xdr:cNvPr>
            <xdr:cNvSpPr txBox="1"/>
          </xdr:nvSpPr>
          <xdr:spPr>
            <a:xfrm>
              <a:off x="2556986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39" name="TextBox 38"/>
            <xdr:cNvSpPr txBox="1"/>
          </xdr:nvSpPr>
          <xdr:spPr>
            <a:xfrm>
              <a:off x="2556986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68</xdr:col>
      <xdr:colOff>238125</xdr:colOff>
      <xdr:row>13</xdr:row>
      <xdr:rowOff>28575</xdr:rowOff>
    </xdr:from>
    <xdr:to>
      <xdr:col>68</xdr:col>
      <xdr:colOff>542925</xdr:colOff>
      <xdr:row>14</xdr:row>
      <xdr:rowOff>114300</xdr:rowOff>
    </xdr:to>
    <xdr:sp macro="" textlink="">
      <xdr:nvSpPr>
        <xdr:cNvPr id="40" name="타원 39">
          <a:extLst>
            <a:ext uri="{FF2B5EF4-FFF2-40B4-BE49-F238E27FC236}">
              <a16:creationId xmlns:a16="http://schemas.microsoft.com/office/drawing/2014/main" id="{00000000-0008-0000-4100-000028000000}"/>
            </a:ext>
          </a:extLst>
        </xdr:cNvPr>
        <xdr:cNvSpPr/>
      </xdr:nvSpPr>
      <xdr:spPr>
        <a:xfrm>
          <a:off x="2555557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75</xdr:col>
      <xdr:colOff>209550</xdr:colOff>
      <xdr:row>5</xdr:row>
      <xdr:rowOff>142875</xdr:rowOff>
    </xdr:from>
    <xdr:to>
      <xdr:col>75</xdr:col>
      <xdr:colOff>514350</xdr:colOff>
      <xdr:row>7</xdr:row>
      <xdr:rowOff>19050</xdr:rowOff>
    </xdr:to>
    <xdr:sp macro="" textlink="">
      <xdr:nvSpPr>
        <xdr:cNvPr id="41" name="타원 40">
          <a:extLst>
            <a:ext uri="{FF2B5EF4-FFF2-40B4-BE49-F238E27FC236}">
              <a16:creationId xmlns:a16="http://schemas.microsoft.com/office/drawing/2014/main" id="{00000000-0008-0000-4100-000029000000}"/>
            </a:ext>
          </a:extLst>
        </xdr:cNvPr>
        <xdr:cNvSpPr/>
      </xdr:nvSpPr>
      <xdr:spPr>
        <a:xfrm>
          <a:off x="433578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7.xml><?xml version="1.0" encoding="utf-8"?>
<xdr:wsDr xmlns:xdr="http://schemas.openxmlformats.org/drawingml/2006/spreadsheetDrawing" xmlns:a="http://schemas.openxmlformats.org/drawingml/2006/main">
  <xdr:twoCellAnchor editAs="oneCell">
    <xdr:from>
      <xdr:col>5</xdr:col>
      <xdr:colOff>21980</xdr:colOff>
      <xdr:row>3</xdr:row>
      <xdr:rowOff>0</xdr:rowOff>
    </xdr:from>
    <xdr:to>
      <xdr:col>13</xdr:col>
      <xdr:colOff>5171</xdr:colOff>
      <xdr:row>11</xdr:row>
      <xdr:rowOff>161925</xdr:rowOff>
    </xdr:to>
    <xdr:pic>
      <xdr:nvPicPr>
        <xdr:cNvPr id="2" name="그림 1" descr="https://lh7-rt.googleusercontent.com/slidesz/AGV_vUc3lteHgmosCb_ZS4lkyDgOdCNpqQ-FRAttXcf4zybN0cNHzMifJ-mxYiyZWHBAliZgw1_HOsFPhIWurMZOlJ30y46cEG_WuKD9KHTYzzPfJTpK5pvUNjiztIzQn9sPRy2WRDhFRgSaVQ3VafCcAv23YaQA-_3m=s2048?key=C1rROcUxR6hNuBclGSbbRA">
          <a:extLst>
            <a:ext uri="{FF2B5EF4-FFF2-40B4-BE49-F238E27FC236}">
              <a16:creationId xmlns:a16="http://schemas.microsoft.com/office/drawing/2014/main" id="{00000000-0008-0000-42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670788" y="637442"/>
          <a:ext cx="5993423" cy="1861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18</xdr:row>
      <xdr:rowOff>0</xdr:rowOff>
    </xdr:from>
    <xdr:to>
      <xdr:col>14</xdr:col>
      <xdr:colOff>419100</xdr:colOff>
      <xdr:row>27</xdr:row>
      <xdr:rowOff>9525</xdr:rowOff>
    </xdr:to>
    <xdr:pic>
      <xdr:nvPicPr>
        <xdr:cNvPr id="3" name="그림 2" descr="https://lh7-rt.googleusercontent.com/slidesz/AGV_vUciocRMfmh_MSoUF6zYY-gJZWvHZF7MBo3CW3q4YR7pEFUYqEK--wHuEydAayFbhJ1VfkMWfAD3ZMVaox4Il2J35ATc26o3tsJxtfcwZxEPRcIwiw2oJPaJzbqWQWDry1hhMmZSGwW7xl6DA8_5SAN3PLlfwEie=s2048?key=C1rROcUxR6hNuBclGSbbRA">
          <a:extLst>
            <a:ext uri="{FF2B5EF4-FFF2-40B4-BE49-F238E27FC236}">
              <a16:creationId xmlns:a16="http://schemas.microsoft.com/office/drawing/2014/main" id="{00000000-0008-0000-42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85800" y="3771900"/>
          <a:ext cx="7105650" cy="1990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38100</xdr:colOff>
      <xdr:row>27</xdr:row>
      <xdr:rowOff>76200</xdr:rowOff>
    </xdr:from>
    <xdr:to>
      <xdr:col>14</xdr:col>
      <xdr:colOff>419100</xdr:colOff>
      <xdr:row>35</xdr:row>
      <xdr:rowOff>76200</xdr:rowOff>
    </xdr:to>
    <xdr:pic>
      <xdr:nvPicPr>
        <xdr:cNvPr id="4" name="그림 3" descr="https://lh7-rt.googleusercontent.com/slidesz/AGV_vUd-sQfefvuL6cy0FeHM05MmS8YPFZgiB7LurY9vxC8UmMf11WyTOJuIjnn_mbYyp1qyn3RrLg45il-oKMU0okSevLEsYOXDEOcAhpCA1tQoBo9_YKbt43pkxyhJjjQO7OVrA_TAaadv-frZRtOIh_srGIZ4pRmN=s2048?key=C1rROcUxR6hNuBclGSbbRA">
          <a:extLst>
            <a:ext uri="{FF2B5EF4-FFF2-40B4-BE49-F238E27FC236}">
              <a16:creationId xmlns:a16="http://schemas.microsoft.com/office/drawing/2014/main" id="{00000000-0008-0000-42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23900" y="5734050"/>
          <a:ext cx="7067550"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257175</xdr:colOff>
      <xdr:row>38</xdr:row>
      <xdr:rowOff>76200</xdr:rowOff>
    </xdr:from>
    <xdr:to>
      <xdr:col>8</xdr:col>
      <xdr:colOff>466725</xdr:colOff>
      <xdr:row>39</xdr:row>
      <xdr:rowOff>76200</xdr:rowOff>
    </xdr:to>
    <xdr:sp macro="" textlink="">
      <xdr:nvSpPr>
        <xdr:cNvPr id="5" name="타원 4">
          <a:extLst>
            <a:ext uri="{FF2B5EF4-FFF2-40B4-BE49-F238E27FC236}">
              <a16:creationId xmlns:a16="http://schemas.microsoft.com/office/drawing/2014/main" id="{00000000-0008-0000-4200-000005000000}"/>
            </a:ext>
          </a:extLst>
        </xdr:cNvPr>
        <xdr:cNvSpPr/>
      </xdr:nvSpPr>
      <xdr:spPr>
        <a:xfrm>
          <a:off x="5267325" y="80391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266700</xdr:colOff>
      <xdr:row>39</xdr:row>
      <xdr:rowOff>161925</xdr:rowOff>
    </xdr:from>
    <xdr:to>
      <xdr:col>8</xdr:col>
      <xdr:colOff>476250</xdr:colOff>
      <xdr:row>40</xdr:row>
      <xdr:rowOff>161925</xdr:rowOff>
    </xdr:to>
    <xdr:sp macro="" textlink="">
      <xdr:nvSpPr>
        <xdr:cNvPr id="6" name="타원 5">
          <a:extLst>
            <a:ext uri="{FF2B5EF4-FFF2-40B4-BE49-F238E27FC236}">
              <a16:creationId xmlns:a16="http://schemas.microsoft.com/office/drawing/2014/main" id="{00000000-0008-0000-4200-000006000000}"/>
            </a:ext>
          </a:extLst>
        </xdr:cNvPr>
        <xdr:cNvSpPr/>
      </xdr:nvSpPr>
      <xdr:spPr>
        <a:xfrm>
          <a:off x="5276850" y="83343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8</xdr:col>
      <xdr:colOff>228600</xdr:colOff>
      <xdr:row>47</xdr:row>
      <xdr:rowOff>180975</xdr:rowOff>
    </xdr:from>
    <xdr:ext cx="302775" cy="688778"/>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4200-000007000000}"/>
                </a:ext>
              </a:extLst>
            </xdr:cNvPr>
            <xdr:cNvSpPr txBox="1"/>
          </xdr:nvSpPr>
          <xdr:spPr>
            <a:xfrm>
              <a:off x="2286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7" name="TextBox 6"/>
            <xdr:cNvSpPr txBox="1"/>
          </xdr:nvSpPr>
          <xdr:spPr>
            <a:xfrm>
              <a:off x="2286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8</xdr:col>
      <xdr:colOff>247650</xdr:colOff>
      <xdr:row>55</xdr:row>
      <xdr:rowOff>142875</xdr:rowOff>
    </xdr:from>
    <xdr:to>
      <xdr:col>8</xdr:col>
      <xdr:colOff>457200</xdr:colOff>
      <xdr:row>56</xdr:row>
      <xdr:rowOff>142875</xdr:rowOff>
    </xdr:to>
    <xdr:sp macro="" textlink="">
      <xdr:nvSpPr>
        <xdr:cNvPr id="8" name="타원 7">
          <a:extLst>
            <a:ext uri="{FF2B5EF4-FFF2-40B4-BE49-F238E27FC236}">
              <a16:creationId xmlns:a16="http://schemas.microsoft.com/office/drawing/2014/main" id="{00000000-0008-0000-4200-000008000000}"/>
            </a:ext>
          </a:extLst>
        </xdr:cNvPr>
        <xdr:cNvSpPr/>
      </xdr:nvSpPr>
      <xdr:spPr>
        <a:xfrm>
          <a:off x="2305050" y="1166812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209550</xdr:colOff>
      <xdr:row>42</xdr:row>
      <xdr:rowOff>142875</xdr:rowOff>
    </xdr:from>
    <xdr:to>
      <xdr:col>22</xdr:col>
      <xdr:colOff>514350</xdr:colOff>
      <xdr:row>44</xdr:row>
      <xdr:rowOff>19050</xdr:rowOff>
    </xdr:to>
    <xdr:sp macro="" textlink="">
      <xdr:nvSpPr>
        <xdr:cNvPr id="9" name="타원 8">
          <a:extLst>
            <a:ext uri="{FF2B5EF4-FFF2-40B4-BE49-F238E27FC236}">
              <a16:creationId xmlns:a16="http://schemas.microsoft.com/office/drawing/2014/main" id="{00000000-0008-0000-4200-000009000000}"/>
            </a:ext>
          </a:extLst>
        </xdr:cNvPr>
        <xdr:cNvSpPr/>
      </xdr:nvSpPr>
      <xdr:spPr>
        <a:xfrm>
          <a:off x="6162675"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219075</xdr:colOff>
      <xdr:row>44</xdr:row>
      <xdr:rowOff>142875</xdr:rowOff>
    </xdr:from>
    <xdr:to>
      <xdr:col>22</xdr:col>
      <xdr:colOff>523875</xdr:colOff>
      <xdr:row>46</xdr:row>
      <xdr:rowOff>19050</xdr:rowOff>
    </xdr:to>
    <xdr:sp macro="" textlink="">
      <xdr:nvSpPr>
        <xdr:cNvPr id="10" name="타원 9">
          <a:extLst>
            <a:ext uri="{FF2B5EF4-FFF2-40B4-BE49-F238E27FC236}">
              <a16:creationId xmlns:a16="http://schemas.microsoft.com/office/drawing/2014/main" id="{00000000-0008-0000-4200-00000A000000}"/>
            </a:ext>
          </a:extLst>
        </xdr:cNvPr>
        <xdr:cNvSpPr/>
      </xdr:nvSpPr>
      <xdr:spPr>
        <a:xfrm>
          <a:off x="61722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22</xdr:col>
      <xdr:colOff>252412</xdr:colOff>
      <xdr:row>46</xdr:row>
      <xdr:rowOff>42862</xdr:rowOff>
    </xdr:from>
    <xdr:ext cx="302775" cy="688778"/>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4200-00000B000000}"/>
                </a:ext>
              </a:extLst>
            </xdr:cNvPr>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1" name="TextBox 10"/>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22</xdr:col>
      <xdr:colOff>238125</xdr:colOff>
      <xdr:row>51</xdr:row>
      <xdr:rowOff>28575</xdr:rowOff>
    </xdr:from>
    <xdr:to>
      <xdr:col>22</xdr:col>
      <xdr:colOff>542925</xdr:colOff>
      <xdr:row>52</xdr:row>
      <xdr:rowOff>114300</xdr:rowOff>
    </xdr:to>
    <xdr:sp macro="" textlink="">
      <xdr:nvSpPr>
        <xdr:cNvPr id="12" name="타원 11">
          <a:extLst>
            <a:ext uri="{FF2B5EF4-FFF2-40B4-BE49-F238E27FC236}">
              <a16:creationId xmlns:a16="http://schemas.microsoft.com/office/drawing/2014/main" id="{00000000-0008-0000-4200-00000C000000}"/>
            </a:ext>
          </a:extLst>
        </xdr:cNvPr>
        <xdr:cNvSpPr/>
      </xdr:nvSpPr>
      <xdr:spPr>
        <a:xfrm>
          <a:off x="6191250"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171450</xdr:colOff>
      <xdr:row>45</xdr:row>
      <xdr:rowOff>104775</xdr:rowOff>
    </xdr:from>
    <xdr:to>
      <xdr:col>32</xdr:col>
      <xdr:colOff>476250</xdr:colOff>
      <xdr:row>46</xdr:row>
      <xdr:rowOff>190500</xdr:rowOff>
    </xdr:to>
    <xdr:sp macro="" textlink="">
      <xdr:nvSpPr>
        <xdr:cNvPr id="13" name="타원 12">
          <a:extLst>
            <a:ext uri="{FF2B5EF4-FFF2-40B4-BE49-F238E27FC236}">
              <a16:creationId xmlns:a16="http://schemas.microsoft.com/office/drawing/2014/main" id="{00000000-0008-0000-4200-00000D000000}"/>
            </a:ext>
          </a:extLst>
        </xdr:cNvPr>
        <xdr:cNvSpPr/>
      </xdr:nvSpPr>
      <xdr:spPr>
        <a:xfrm>
          <a:off x="22355175" y="9848850"/>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16</xdr:col>
      <xdr:colOff>323850</xdr:colOff>
      <xdr:row>23</xdr:row>
      <xdr:rowOff>101117</xdr:rowOff>
    </xdr:from>
    <xdr:to>
      <xdr:col>20</xdr:col>
      <xdr:colOff>314910</xdr:colOff>
      <xdr:row>34</xdr:row>
      <xdr:rowOff>76688</xdr:rowOff>
    </xdr:to>
    <xdr:pic>
      <xdr:nvPicPr>
        <xdr:cNvPr id="17" name="그림 16">
          <a:extLst>
            <a:ext uri="{FF2B5EF4-FFF2-40B4-BE49-F238E27FC236}">
              <a16:creationId xmlns:a16="http://schemas.microsoft.com/office/drawing/2014/main" id="{00000000-0008-0000-4200-000011000000}"/>
            </a:ext>
          </a:extLst>
        </xdr:cNvPr>
        <xdr:cNvPicPr>
          <a:picLocks noChangeAspect="1"/>
        </xdr:cNvPicPr>
      </xdr:nvPicPr>
      <xdr:blipFill>
        <a:blip xmlns:r="http://schemas.openxmlformats.org/officeDocument/2006/relationships" r:embed="rId4"/>
        <a:stretch>
          <a:fillRect/>
        </a:stretch>
      </xdr:blipFill>
      <xdr:spPr>
        <a:xfrm>
          <a:off x="11334750" y="5330342"/>
          <a:ext cx="2734260" cy="2280621"/>
        </a:xfrm>
        <a:prstGeom prst="rect">
          <a:avLst/>
        </a:prstGeom>
      </xdr:spPr>
    </xdr:pic>
    <xdr:clientData/>
  </xdr:twoCellAnchor>
  <xdr:twoCellAnchor editAs="oneCell">
    <xdr:from>
      <xdr:col>1</xdr:col>
      <xdr:colOff>514350</xdr:colOff>
      <xdr:row>55</xdr:row>
      <xdr:rowOff>142875</xdr:rowOff>
    </xdr:from>
    <xdr:to>
      <xdr:col>3</xdr:col>
      <xdr:colOff>190675</xdr:colOff>
      <xdr:row>61</xdr:row>
      <xdr:rowOff>123998</xdr:rowOff>
    </xdr:to>
    <xdr:pic>
      <xdr:nvPicPr>
        <xdr:cNvPr id="18" name="그림 17">
          <a:extLst>
            <a:ext uri="{FF2B5EF4-FFF2-40B4-BE49-F238E27FC236}">
              <a16:creationId xmlns:a16="http://schemas.microsoft.com/office/drawing/2014/main" id="{00000000-0008-0000-4200-000012000000}"/>
            </a:ext>
          </a:extLst>
        </xdr:cNvPr>
        <xdr:cNvPicPr>
          <a:picLocks noChangeAspect="1"/>
        </xdr:cNvPicPr>
      </xdr:nvPicPr>
      <xdr:blipFill>
        <a:blip xmlns:r="http://schemas.openxmlformats.org/officeDocument/2006/relationships" r:embed="rId5"/>
        <a:stretch>
          <a:fillRect/>
        </a:stretch>
      </xdr:blipFill>
      <xdr:spPr>
        <a:xfrm>
          <a:off x="1200150" y="12077700"/>
          <a:ext cx="1257475" cy="1238423"/>
        </a:xfrm>
        <a:prstGeom prst="rect">
          <a:avLst/>
        </a:prstGeom>
      </xdr:spPr>
    </xdr:pic>
    <xdr:clientData/>
  </xdr:twoCellAnchor>
  <xdr:twoCellAnchor editAs="oneCell">
    <xdr:from>
      <xdr:col>1</xdr:col>
      <xdr:colOff>0</xdr:colOff>
      <xdr:row>74</xdr:row>
      <xdr:rowOff>171450</xdr:rowOff>
    </xdr:from>
    <xdr:to>
      <xdr:col>7</xdr:col>
      <xdr:colOff>284077</xdr:colOff>
      <xdr:row>94</xdr:row>
      <xdr:rowOff>153343</xdr:rowOff>
    </xdr:to>
    <xdr:pic>
      <xdr:nvPicPr>
        <xdr:cNvPr id="20" name="그림 19">
          <a:extLst>
            <a:ext uri="{FF2B5EF4-FFF2-40B4-BE49-F238E27FC236}">
              <a16:creationId xmlns:a16="http://schemas.microsoft.com/office/drawing/2014/main" id="{00000000-0008-0000-4200-000014000000}"/>
            </a:ext>
          </a:extLst>
        </xdr:cNvPr>
        <xdr:cNvPicPr>
          <a:picLocks noChangeAspect="1"/>
        </xdr:cNvPicPr>
      </xdr:nvPicPr>
      <xdr:blipFill>
        <a:blip xmlns:r="http://schemas.openxmlformats.org/officeDocument/2006/relationships" r:embed="rId6"/>
        <a:stretch>
          <a:fillRect/>
        </a:stretch>
      </xdr:blipFill>
      <xdr:spPr>
        <a:xfrm>
          <a:off x="685800" y="16087725"/>
          <a:ext cx="4608427" cy="4172893"/>
        </a:xfrm>
        <a:prstGeom prst="rect">
          <a:avLst/>
        </a:prstGeom>
      </xdr:spPr>
    </xdr:pic>
    <xdr:clientData/>
  </xdr:twoCellAnchor>
  <xdr:twoCellAnchor editAs="oneCell">
    <xdr:from>
      <xdr:col>0</xdr:col>
      <xdr:colOff>659425</xdr:colOff>
      <xdr:row>114</xdr:row>
      <xdr:rowOff>29307</xdr:rowOff>
    </xdr:from>
    <xdr:to>
      <xdr:col>8</xdr:col>
      <xdr:colOff>444264</xdr:colOff>
      <xdr:row>134</xdr:row>
      <xdr:rowOff>177399</xdr:rowOff>
    </xdr:to>
    <xdr:pic>
      <xdr:nvPicPr>
        <xdr:cNvPr id="21" name="그림 20">
          <a:extLst>
            <a:ext uri="{FF2B5EF4-FFF2-40B4-BE49-F238E27FC236}">
              <a16:creationId xmlns:a16="http://schemas.microsoft.com/office/drawing/2014/main" id="{00000000-0008-0000-4200-000015000000}"/>
            </a:ext>
          </a:extLst>
        </xdr:cNvPr>
        <xdr:cNvPicPr>
          <a:picLocks noChangeAspect="1"/>
        </xdr:cNvPicPr>
      </xdr:nvPicPr>
      <xdr:blipFill>
        <a:blip xmlns:r="http://schemas.openxmlformats.org/officeDocument/2006/relationships" r:embed="rId7"/>
        <a:stretch>
          <a:fillRect/>
        </a:stretch>
      </xdr:blipFill>
      <xdr:spPr>
        <a:xfrm>
          <a:off x="659425" y="24970153"/>
          <a:ext cx="5858858" cy="4397707"/>
        </a:xfrm>
        <a:prstGeom prst="rect">
          <a:avLst/>
        </a:prstGeom>
      </xdr:spPr>
    </xdr:pic>
    <xdr:clientData/>
  </xdr:twoCellAnchor>
  <xdr:twoCellAnchor>
    <xdr:from>
      <xdr:col>4</xdr:col>
      <xdr:colOff>490904</xdr:colOff>
      <xdr:row>104</xdr:row>
      <xdr:rowOff>168520</xdr:rowOff>
    </xdr:from>
    <xdr:to>
      <xdr:col>10</xdr:col>
      <xdr:colOff>432288</xdr:colOff>
      <xdr:row>118</xdr:row>
      <xdr:rowOff>161193</xdr:rowOff>
    </xdr:to>
    <xdr:cxnSp macro="">
      <xdr:nvCxnSpPr>
        <xdr:cNvPr id="23" name="직선 화살표 연결선 22">
          <a:extLst>
            <a:ext uri="{FF2B5EF4-FFF2-40B4-BE49-F238E27FC236}">
              <a16:creationId xmlns:a16="http://schemas.microsoft.com/office/drawing/2014/main" id="{00000000-0008-0000-4200-000017000000}"/>
            </a:ext>
          </a:extLst>
        </xdr:cNvPr>
        <xdr:cNvCxnSpPr/>
      </xdr:nvCxnSpPr>
      <xdr:spPr>
        <a:xfrm flipH="1" flipV="1">
          <a:off x="3450981" y="22984558"/>
          <a:ext cx="4432788" cy="296740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209550</xdr:colOff>
      <xdr:row>108</xdr:row>
      <xdr:rowOff>142875</xdr:rowOff>
    </xdr:from>
    <xdr:to>
      <xdr:col>16</xdr:col>
      <xdr:colOff>514350</xdr:colOff>
      <xdr:row>110</xdr:row>
      <xdr:rowOff>19050</xdr:rowOff>
    </xdr:to>
    <xdr:sp macro="" textlink="">
      <xdr:nvSpPr>
        <xdr:cNvPr id="24" name="타원 23">
          <a:extLst>
            <a:ext uri="{FF2B5EF4-FFF2-40B4-BE49-F238E27FC236}">
              <a16:creationId xmlns:a16="http://schemas.microsoft.com/office/drawing/2014/main" id="{00000000-0008-0000-4200-000018000000}"/>
            </a:ext>
          </a:extLst>
        </xdr:cNvPr>
        <xdr:cNvSpPr/>
      </xdr:nvSpPr>
      <xdr:spPr>
        <a:xfrm>
          <a:off x="16270165" y="9470048"/>
          <a:ext cx="304800" cy="30113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110</xdr:row>
      <xdr:rowOff>142875</xdr:rowOff>
    </xdr:from>
    <xdr:to>
      <xdr:col>16</xdr:col>
      <xdr:colOff>523875</xdr:colOff>
      <xdr:row>112</xdr:row>
      <xdr:rowOff>19050</xdr:rowOff>
    </xdr:to>
    <xdr:sp macro="" textlink="">
      <xdr:nvSpPr>
        <xdr:cNvPr id="25" name="타원 24">
          <a:extLst>
            <a:ext uri="{FF2B5EF4-FFF2-40B4-BE49-F238E27FC236}">
              <a16:creationId xmlns:a16="http://schemas.microsoft.com/office/drawing/2014/main" id="{00000000-0008-0000-4200-000019000000}"/>
            </a:ext>
          </a:extLst>
        </xdr:cNvPr>
        <xdr:cNvSpPr/>
      </xdr:nvSpPr>
      <xdr:spPr>
        <a:xfrm>
          <a:off x="16279690" y="9895010"/>
          <a:ext cx="304800" cy="301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4200-00001A000000}"/>
                </a:ext>
              </a:extLst>
            </xdr:cNvPr>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6" name="TextBox 25"/>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16</xdr:col>
      <xdr:colOff>238125</xdr:colOff>
      <xdr:row>117</xdr:row>
      <xdr:rowOff>28575</xdr:rowOff>
    </xdr:from>
    <xdr:to>
      <xdr:col>16</xdr:col>
      <xdr:colOff>542925</xdr:colOff>
      <xdr:row>118</xdr:row>
      <xdr:rowOff>114300</xdr:rowOff>
    </xdr:to>
    <xdr:sp macro="" textlink="">
      <xdr:nvSpPr>
        <xdr:cNvPr id="27" name="타원 26">
          <a:extLst>
            <a:ext uri="{FF2B5EF4-FFF2-40B4-BE49-F238E27FC236}">
              <a16:creationId xmlns:a16="http://schemas.microsoft.com/office/drawing/2014/main" id="{00000000-0008-0000-4200-00001B000000}"/>
            </a:ext>
          </a:extLst>
        </xdr:cNvPr>
        <xdr:cNvSpPr/>
      </xdr:nvSpPr>
      <xdr:spPr>
        <a:xfrm>
          <a:off x="16298740" y="11268075"/>
          <a:ext cx="304800" cy="29820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209550</xdr:colOff>
      <xdr:row>108</xdr:row>
      <xdr:rowOff>142875</xdr:rowOff>
    </xdr:from>
    <xdr:to>
      <xdr:col>21</xdr:col>
      <xdr:colOff>514350</xdr:colOff>
      <xdr:row>110</xdr:row>
      <xdr:rowOff>19050</xdr:rowOff>
    </xdr:to>
    <xdr:sp macro="" textlink="">
      <xdr:nvSpPr>
        <xdr:cNvPr id="28" name="타원 27">
          <a:extLst>
            <a:ext uri="{FF2B5EF4-FFF2-40B4-BE49-F238E27FC236}">
              <a16:creationId xmlns:a16="http://schemas.microsoft.com/office/drawing/2014/main" id="{00000000-0008-0000-4200-00001C000000}"/>
            </a:ext>
          </a:extLst>
        </xdr:cNvPr>
        <xdr:cNvSpPr/>
      </xdr:nvSpPr>
      <xdr:spPr>
        <a:xfrm>
          <a:off x="16270165" y="9470048"/>
          <a:ext cx="304800" cy="30113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110</xdr:row>
      <xdr:rowOff>142875</xdr:rowOff>
    </xdr:from>
    <xdr:to>
      <xdr:col>21</xdr:col>
      <xdr:colOff>523875</xdr:colOff>
      <xdr:row>112</xdr:row>
      <xdr:rowOff>19050</xdr:rowOff>
    </xdr:to>
    <xdr:sp macro="" textlink="">
      <xdr:nvSpPr>
        <xdr:cNvPr id="29" name="타원 28">
          <a:extLst>
            <a:ext uri="{FF2B5EF4-FFF2-40B4-BE49-F238E27FC236}">
              <a16:creationId xmlns:a16="http://schemas.microsoft.com/office/drawing/2014/main" id="{00000000-0008-0000-4200-00001D000000}"/>
            </a:ext>
          </a:extLst>
        </xdr:cNvPr>
        <xdr:cNvSpPr/>
      </xdr:nvSpPr>
      <xdr:spPr>
        <a:xfrm>
          <a:off x="16279690" y="9895010"/>
          <a:ext cx="304800" cy="301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21</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4200-00001E000000}"/>
                </a:ext>
              </a:extLst>
            </xdr:cNvPr>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30" name="TextBox 29"/>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21</xdr:col>
      <xdr:colOff>238125</xdr:colOff>
      <xdr:row>117</xdr:row>
      <xdr:rowOff>28575</xdr:rowOff>
    </xdr:from>
    <xdr:to>
      <xdr:col>21</xdr:col>
      <xdr:colOff>542925</xdr:colOff>
      <xdr:row>118</xdr:row>
      <xdr:rowOff>114300</xdr:rowOff>
    </xdr:to>
    <xdr:sp macro="" textlink="">
      <xdr:nvSpPr>
        <xdr:cNvPr id="31" name="타원 30">
          <a:extLst>
            <a:ext uri="{FF2B5EF4-FFF2-40B4-BE49-F238E27FC236}">
              <a16:creationId xmlns:a16="http://schemas.microsoft.com/office/drawing/2014/main" id="{00000000-0008-0000-4200-00001F000000}"/>
            </a:ext>
          </a:extLst>
        </xdr:cNvPr>
        <xdr:cNvSpPr/>
      </xdr:nvSpPr>
      <xdr:spPr>
        <a:xfrm>
          <a:off x="16298740" y="11268075"/>
          <a:ext cx="304800" cy="29820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271097</xdr:colOff>
      <xdr:row>112</xdr:row>
      <xdr:rowOff>21980</xdr:rowOff>
    </xdr:from>
    <xdr:to>
      <xdr:col>28</xdr:col>
      <xdr:colOff>395655</xdr:colOff>
      <xdr:row>112</xdr:row>
      <xdr:rowOff>205153</xdr:rowOff>
    </xdr:to>
    <xdr:sp macro="" textlink="">
      <xdr:nvSpPr>
        <xdr:cNvPr id="32" name="타원 31">
          <a:extLst>
            <a:ext uri="{FF2B5EF4-FFF2-40B4-BE49-F238E27FC236}">
              <a16:creationId xmlns:a16="http://schemas.microsoft.com/office/drawing/2014/main" id="{00000000-0008-0000-4200-000020000000}"/>
            </a:ext>
          </a:extLst>
        </xdr:cNvPr>
        <xdr:cNvSpPr/>
      </xdr:nvSpPr>
      <xdr:spPr>
        <a:xfrm flipH="1">
          <a:off x="20464097" y="24537865"/>
          <a:ext cx="124558" cy="18317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0</xdr:colOff>
      <xdr:row>147</xdr:row>
      <xdr:rowOff>0</xdr:rowOff>
    </xdr:from>
    <xdr:to>
      <xdr:col>10</xdr:col>
      <xdr:colOff>236267</xdr:colOff>
      <xdr:row>166</xdr:row>
      <xdr:rowOff>183029</xdr:rowOff>
    </xdr:to>
    <xdr:pic>
      <xdr:nvPicPr>
        <xdr:cNvPr id="33" name="그림 32">
          <a:extLst>
            <a:ext uri="{FF2B5EF4-FFF2-40B4-BE49-F238E27FC236}">
              <a16:creationId xmlns:a16="http://schemas.microsoft.com/office/drawing/2014/main" id="{00000000-0008-0000-4200-000021000000}"/>
            </a:ext>
          </a:extLst>
        </xdr:cNvPr>
        <xdr:cNvPicPr>
          <a:picLocks noChangeAspect="1"/>
        </xdr:cNvPicPr>
      </xdr:nvPicPr>
      <xdr:blipFill>
        <a:blip xmlns:r="http://schemas.openxmlformats.org/officeDocument/2006/relationships" r:embed="rId8"/>
        <a:stretch>
          <a:fillRect/>
        </a:stretch>
      </xdr:blipFill>
      <xdr:spPr>
        <a:xfrm>
          <a:off x="0" y="32267769"/>
          <a:ext cx="7687748" cy="4220164"/>
        </a:xfrm>
        <a:prstGeom prst="rect">
          <a:avLst/>
        </a:prstGeom>
      </xdr:spPr>
    </xdr:pic>
    <xdr:clientData/>
  </xdr:twoCellAnchor>
  <xdr:twoCellAnchor editAs="oneCell">
    <xdr:from>
      <xdr:col>18</xdr:col>
      <xdr:colOff>0</xdr:colOff>
      <xdr:row>148</xdr:row>
      <xdr:rowOff>0</xdr:rowOff>
    </xdr:from>
    <xdr:to>
      <xdr:col>26</xdr:col>
      <xdr:colOff>285750</xdr:colOff>
      <xdr:row>156</xdr:row>
      <xdr:rowOff>161925</xdr:rowOff>
    </xdr:to>
    <xdr:pic>
      <xdr:nvPicPr>
        <xdr:cNvPr id="34" name="그림 33" descr="https://lh7-rt.googleusercontent.com/slidesz/AGV_vUc3lteHgmosCb_ZS4lkyDgOdCNpqQ-FRAttXcf4zybN0cNHzMifJ-mxYiyZWHBAliZgw1_HOsFPhIWurMZOlJ30y46cEG_WuKD9KHTYzzPfJTpK5pvUNjiztIzQn9sPRy2WRDhFRgSaVQ3VafCcAv23YaQA-_3m=s2048?key=C1rROcUxR6hNuBclGSbbRA">
          <a:extLst>
            <a:ext uri="{FF2B5EF4-FFF2-40B4-BE49-F238E27FC236}">
              <a16:creationId xmlns:a16="http://schemas.microsoft.com/office/drawing/2014/main" id="{00000000-0008-0000-4200-00002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107865" y="32480250"/>
          <a:ext cx="5993423" cy="1861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0</xdr:colOff>
      <xdr:row>161</xdr:row>
      <xdr:rowOff>0</xdr:rowOff>
    </xdr:from>
    <xdr:to>
      <xdr:col>29</xdr:col>
      <xdr:colOff>620933</xdr:colOff>
      <xdr:row>163</xdr:row>
      <xdr:rowOff>147922</xdr:rowOff>
    </xdr:to>
    <xdr:pic>
      <xdr:nvPicPr>
        <xdr:cNvPr id="35" name="그림 34">
          <a:extLst>
            <a:ext uri="{FF2B5EF4-FFF2-40B4-BE49-F238E27FC236}">
              <a16:creationId xmlns:a16="http://schemas.microsoft.com/office/drawing/2014/main" id="{00000000-0008-0000-4200-000023000000}"/>
            </a:ext>
          </a:extLst>
        </xdr:cNvPr>
        <xdr:cNvPicPr>
          <a:picLocks noChangeAspect="1"/>
        </xdr:cNvPicPr>
      </xdr:nvPicPr>
      <xdr:blipFill>
        <a:blip xmlns:r="http://schemas.openxmlformats.org/officeDocument/2006/relationships" r:embed="rId9"/>
        <a:stretch>
          <a:fillRect/>
        </a:stretch>
      </xdr:blipFill>
      <xdr:spPr>
        <a:xfrm>
          <a:off x="17418326" y="34381109"/>
          <a:ext cx="4058216" cy="562053"/>
        </a:xfrm>
        <a:prstGeom prst="rect">
          <a:avLst/>
        </a:prstGeom>
      </xdr:spPr>
    </xdr:pic>
    <xdr:clientData/>
  </xdr:twoCellAnchor>
  <xdr:twoCellAnchor>
    <xdr:from>
      <xdr:col>19</xdr:col>
      <xdr:colOff>331304</xdr:colOff>
      <xdr:row>61</xdr:row>
      <xdr:rowOff>157369</xdr:rowOff>
    </xdr:from>
    <xdr:to>
      <xdr:col>21</xdr:col>
      <xdr:colOff>785812</xdr:colOff>
      <xdr:row>162</xdr:row>
      <xdr:rowOff>47624</xdr:rowOff>
    </xdr:to>
    <xdr:cxnSp macro="">
      <xdr:nvCxnSpPr>
        <xdr:cNvPr id="37" name="직선 화살표 연결선 36">
          <a:extLst>
            <a:ext uri="{FF2B5EF4-FFF2-40B4-BE49-F238E27FC236}">
              <a16:creationId xmlns:a16="http://schemas.microsoft.com/office/drawing/2014/main" id="{00000000-0008-0000-4200-000025000000}"/>
            </a:ext>
          </a:extLst>
        </xdr:cNvPr>
        <xdr:cNvCxnSpPr/>
      </xdr:nvCxnSpPr>
      <xdr:spPr>
        <a:xfrm>
          <a:off x="14166367" y="13635244"/>
          <a:ext cx="1835633" cy="22154943"/>
        </a:xfrm>
        <a:prstGeom prst="straightConnector1">
          <a:avLst/>
        </a:prstGeom>
        <a:ln w="5715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58.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10</xdr:col>
      <xdr:colOff>610547</xdr:colOff>
      <xdr:row>75</xdr:row>
      <xdr:rowOff>114901</xdr:rowOff>
    </xdr:to>
    <xdr:pic>
      <xdr:nvPicPr>
        <xdr:cNvPr id="2" name="그림 1">
          <a:extLst>
            <a:ext uri="{FF2B5EF4-FFF2-40B4-BE49-F238E27FC236}">
              <a16:creationId xmlns:a16="http://schemas.microsoft.com/office/drawing/2014/main" id="{00000000-0008-0000-4300-000002000000}"/>
            </a:ext>
          </a:extLst>
        </xdr:cNvPr>
        <xdr:cNvPicPr>
          <a:picLocks noChangeAspect="1"/>
        </xdr:cNvPicPr>
      </xdr:nvPicPr>
      <xdr:blipFill>
        <a:blip xmlns:r="http://schemas.openxmlformats.org/officeDocument/2006/relationships" r:embed="rId1"/>
        <a:stretch>
          <a:fillRect/>
        </a:stretch>
      </xdr:blipFill>
      <xdr:spPr>
        <a:xfrm>
          <a:off x="685800" y="6286500"/>
          <a:ext cx="6782747" cy="4305901"/>
        </a:xfrm>
        <a:prstGeom prst="rect">
          <a:avLst/>
        </a:prstGeom>
      </xdr:spPr>
    </xdr:pic>
    <xdr:clientData/>
  </xdr:twoCellAnchor>
  <xdr:twoCellAnchor>
    <xdr:from>
      <xdr:col>1</xdr:col>
      <xdr:colOff>228600</xdr:colOff>
      <xdr:row>55</xdr:row>
      <xdr:rowOff>9524</xdr:rowOff>
    </xdr:from>
    <xdr:to>
      <xdr:col>3</xdr:col>
      <xdr:colOff>666750</xdr:colOff>
      <xdr:row>55</xdr:row>
      <xdr:rowOff>209549</xdr:rowOff>
    </xdr:to>
    <xdr:sp macro="" textlink="">
      <xdr:nvSpPr>
        <xdr:cNvPr id="3" name="TextBox 2">
          <a:extLst>
            <a:ext uri="{FF2B5EF4-FFF2-40B4-BE49-F238E27FC236}">
              <a16:creationId xmlns:a16="http://schemas.microsoft.com/office/drawing/2014/main" id="{00000000-0008-0000-4300-000003000000}"/>
            </a:ext>
          </a:extLst>
        </xdr:cNvPr>
        <xdr:cNvSpPr txBox="1"/>
      </xdr:nvSpPr>
      <xdr:spPr>
        <a:xfrm>
          <a:off x="914400" y="6296024"/>
          <a:ext cx="1809750" cy="200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150*150</a:t>
          </a:r>
          <a:endParaRPr lang="ko-KR" altLang="en-US" sz="1100"/>
        </a:p>
      </xdr:txBody>
    </xdr:sp>
    <xdr:clientData/>
  </xdr:twoCellAnchor>
  <xdr:twoCellAnchor editAs="oneCell">
    <xdr:from>
      <xdr:col>13</xdr:col>
      <xdr:colOff>0</xdr:colOff>
      <xdr:row>54</xdr:row>
      <xdr:rowOff>0</xdr:rowOff>
    </xdr:from>
    <xdr:to>
      <xdr:col>26</xdr:col>
      <xdr:colOff>48678</xdr:colOff>
      <xdr:row>80</xdr:row>
      <xdr:rowOff>48392</xdr:rowOff>
    </xdr:to>
    <xdr:pic>
      <xdr:nvPicPr>
        <xdr:cNvPr id="4" name="그림 3">
          <a:extLst>
            <a:ext uri="{FF2B5EF4-FFF2-40B4-BE49-F238E27FC236}">
              <a16:creationId xmlns:a16="http://schemas.microsoft.com/office/drawing/2014/main" id="{00000000-0008-0000-4300-000004000000}"/>
            </a:ext>
          </a:extLst>
        </xdr:cNvPr>
        <xdr:cNvPicPr>
          <a:picLocks noChangeAspect="1"/>
        </xdr:cNvPicPr>
      </xdr:nvPicPr>
      <xdr:blipFill>
        <a:blip xmlns:r="http://schemas.openxmlformats.org/officeDocument/2006/relationships" r:embed="rId2"/>
        <a:stretch>
          <a:fillRect/>
        </a:stretch>
      </xdr:blipFill>
      <xdr:spPr>
        <a:xfrm>
          <a:off x="8915400" y="6076950"/>
          <a:ext cx="7544853" cy="5496692"/>
        </a:xfrm>
        <a:prstGeom prst="rect">
          <a:avLst/>
        </a:prstGeom>
      </xdr:spPr>
    </xdr:pic>
    <xdr:clientData/>
  </xdr:twoCellAnchor>
  <xdr:twoCellAnchor>
    <xdr:from>
      <xdr:col>9</xdr:col>
      <xdr:colOff>609600</xdr:colOff>
      <xdr:row>59</xdr:row>
      <xdr:rowOff>28575</xdr:rowOff>
    </xdr:from>
    <xdr:to>
      <xdr:col>13</xdr:col>
      <xdr:colOff>171450</xdr:colOff>
      <xdr:row>64</xdr:row>
      <xdr:rowOff>190500</xdr:rowOff>
    </xdr:to>
    <xdr:cxnSp macro="">
      <xdr:nvCxnSpPr>
        <xdr:cNvPr id="6" name="직선 화살표 연결선 5">
          <a:extLst>
            <a:ext uri="{FF2B5EF4-FFF2-40B4-BE49-F238E27FC236}">
              <a16:creationId xmlns:a16="http://schemas.microsoft.com/office/drawing/2014/main" id="{00000000-0008-0000-4300-000006000000}"/>
            </a:ext>
          </a:extLst>
        </xdr:cNvPr>
        <xdr:cNvCxnSpPr/>
      </xdr:nvCxnSpPr>
      <xdr:spPr>
        <a:xfrm flipV="1">
          <a:off x="6781800" y="7153275"/>
          <a:ext cx="2305050" cy="1209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77</xdr:row>
      <xdr:rowOff>0</xdr:rowOff>
    </xdr:from>
    <xdr:to>
      <xdr:col>9</xdr:col>
      <xdr:colOff>67450</xdr:colOff>
      <xdr:row>114</xdr:row>
      <xdr:rowOff>29661</xdr:rowOff>
    </xdr:to>
    <xdr:pic>
      <xdr:nvPicPr>
        <xdr:cNvPr id="7" name="그림 6">
          <a:extLst>
            <a:ext uri="{FF2B5EF4-FFF2-40B4-BE49-F238E27FC236}">
              <a16:creationId xmlns:a16="http://schemas.microsoft.com/office/drawing/2014/main" id="{00000000-0008-0000-4300-000007000000}"/>
            </a:ext>
          </a:extLst>
        </xdr:cNvPr>
        <xdr:cNvPicPr>
          <a:picLocks noChangeAspect="1"/>
        </xdr:cNvPicPr>
      </xdr:nvPicPr>
      <xdr:blipFill>
        <a:blip xmlns:r="http://schemas.openxmlformats.org/officeDocument/2006/relationships" r:embed="rId3"/>
        <a:stretch>
          <a:fillRect/>
        </a:stretch>
      </xdr:blipFill>
      <xdr:spPr>
        <a:xfrm>
          <a:off x="685800" y="10896600"/>
          <a:ext cx="5553850" cy="7783011"/>
        </a:xfrm>
        <a:prstGeom prst="rect">
          <a:avLst/>
        </a:prstGeom>
      </xdr:spPr>
    </xdr:pic>
    <xdr:clientData/>
  </xdr:twoCellAnchor>
  <xdr:twoCellAnchor>
    <xdr:from>
      <xdr:col>3</xdr:col>
      <xdr:colOff>676275</xdr:colOff>
      <xdr:row>79</xdr:row>
      <xdr:rowOff>89648</xdr:rowOff>
    </xdr:from>
    <xdr:to>
      <xdr:col>16</xdr:col>
      <xdr:colOff>593912</xdr:colOff>
      <xdr:row>112</xdr:row>
      <xdr:rowOff>95250</xdr:rowOff>
    </xdr:to>
    <xdr:cxnSp macro="">
      <xdr:nvCxnSpPr>
        <xdr:cNvPr id="9" name="직선 연결선 8">
          <a:extLst>
            <a:ext uri="{FF2B5EF4-FFF2-40B4-BE49-F238E27FC236}">
              <a16:creationId xmlns:a16="http://schemas.microsoft.com/office/drawing/2014/main" id="{00000000-0008-0000-4300-000009000000}"/>
            </a:ext>
          </a:extLst>
        </xdr:cNvPr>
        <xdr:cNvCxnSpPr/>
      </xdr:nvCxnSpPr>
      <xdr:spPr>
        <a:xfrm flipV="1">
          <a:off x="2733675" y="11967323"/>
          <a:ext cx="8833037" cy="6920752"/>
        </a:xfrm>
        <a:prstGeom prst="line">
          <a:avLst/>
        </a:prstGeom>
        <a:ln>
          <a:solidFill>
            <a:srgbClr val="FF0000"/>
          </a:solidFill>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3</xdr:col>
      <xdr:colOff>0</xdr:colOff>
      <xdr:row>31</xdr:row>
      <xdr:rowOff>0</xdr:rowOff>
    </xdr:from>
    <xdr:to>
      <xdr:col>6</xdr:col>
      <xdr:colOff>9813</xdr:colOff>
      <xdr:row>38</xdr:row>
      <xdr:rowOff>247936</xdr:rowOff>
    </xdr:to>
    <xdr:pic>
      <xdr:nvPicPr>
        <xdr:cNvPr id="10" name="그림 9">
          <a:extLst>
            <a:ext uri="{FF2B5EF4-FFF2-40B4-BE49-F238E27FC236}">
              <a16:creationId xmlns:a16="http://schemas.microsoft.com/office/drawing/2014/main" id="{00000000-0008-0000-4300-00000A000000}"/>
            </a:ext>
          </a:extLst>
        </xdr:cNvPr>
        <xdr:cNvPicPr>
          <a:picLocks noChangeAspect="1"/>
        </xdr:cNvPicPr>
      </xdr:nvPicPr>
      <xdr:blipFill>
        <a:blip xmlns:r="http://schemas.openxmlformats.org/officeDocument/2006/relationships" r:embed="rId4"/>
        <a:stretch>
          <a:fillRect/>
        </a:stretch>
      </xdr:blipFill>
      <xdr:spPr>
        <a:xfrm>
          <a:off x="2057400" y="6734175"/>
          <a:ext cx="2067213" cy="2048161"/>
        </a:xfrm>
        <a:prstGeom prst="rect">
          <a:avLst/>
        </a:prstGeom>
      </xdr:spPr>
    </xdr:pic>
    <xdr:clientData/>
  </xdr:twoCellAnchor>
  <xdr:twoCellAnchor>
    <xdr:from>
      <xdr:col>9</xdr:col>
      <xdr:colOff>209550</xdr:colOff>
      <xdr:row>31</xdr:row>
      <xdr:rowOff>95250</xdr:rowOff>
    </xdr:from>
    <xdr:to>
      <xdr:col>9</xdr:col>
      <xdr:colOff>438150</xdr:colOff>
      <xdr:row>32</xdr:row>
      <xdr:rowOff>66675</xdr:rowOff>
    </xdr:to>
    <xdr:sp macro="" textlink="">
      <xdr:nvSpPr>
        <xdr:cNvPr id="11" name="타원 10">
          <a:extLst>
            <a:ext uri="{FF2B5EF4-FFF2-40B4-BE49-F238E27FC236}">
              <a16:creationId xmlns:a16="http://schemas.microsoft.com/office/drawing/2014/main" id="{00000000-0008-0000-4300-00000B000000}"/>
            </a:ext>
          </a:extLst>
        </xdr:cNvPr>
        <xdr:cNvSpPr/>
      </xdr:nvSpPr>
      <xdr:spPr>
        <a:xfrm>
          <a:off x="6381750" y="6829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32</xdr:row>
      <xdr:rowOff>133350</xdr:rowOff>
    </xdr:from>
    <xdr:to>
      <xdr:col>9</xdr:col>
      <xdr:colOff>447675</xdr:colOff>
      <xdr:row>33</xdr:row>
      <xdr:rowOff>104775</xdr:rowOff>
    </xdr:to>
    <xdr:sp macro="" textlink="">
      <xdr:nvSpPr>
        <xdr:cNvPr id="12" name="타원 11">
          <a:extLst>
            <a:ext uri="{FF2B5EF4-FFF2-40B4-BE49-F238E27FC236}">
              <a16:creationId xmlns:a16="http://schemas.microsoft.com/office/drawing/2014/main" id="{00000000-0008-0000-4300-00000C000000}"/>
            </a:ext>
          </a:extLst>
        </xdr:cNvPr>
        <xdr:cNvSpPr/>
      </xdr:nvSpPr>
      <xdr:spPr>
        <a:xfrm>
          <a:off x="6391275" y="71247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33</xdr:row>
      <xdr:rowOff>209550</xdr:rowOff>
    </xdr:from>
    <xdr:to>
      <xdr:col>9</xdr:col>
      <xdr:colOff>447675</xdr:colOff>
      <xdr:row>34</xdr:row>
      <xdr:rowOff>180975</xdr:rowOff>
    </xdr:to>
    <xdr:sp macro="" textlink="">
      <xdr:nvSpPr>
        <xdr:cNvPr id="13" name="타원 12">
          <a:extLst>
            <a:ext uri="{FF2B5EF4-FFF2-40B4-BE49-F238E27FC236}">
              <a16:creationId xmlns:a16="http://schemas.microsoft.com/office/drawing/2014/main" id="{00000000-0008-0000-4300-00000D000000}"/>
            </a:ext>
          </a:extLst>
        </xdr:cNvPr>
        <xdr:cNvSpPr/>
      </xdr:nvSpPr>
      <xdr:spPr>
        <a:xfrm>
          <a:off x="6391275" y="7458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238125</xdr:colOff>
      <xdr:row>38</xdr:row>
      <xdr:rowOff>142875</xdr:rowOff>
    </xdr:from>
    <xdr:to>
      <xdr:col>9</xdr:col>
      <xdr:colOff>466725</xdr:colOff>
      <xdr:row>39</xdr:row>
      <xdr:rowOff>114300</xdr:rowOff>
    </xdr:to>
    <xdr:sp macro="" textlink="">
      <xdr:nvSpPr>
        <xdr:cNvPr id="14" name="타원 13">
          <a:extLst>
            <a:ext uri="{FF2B5EF4-FFF2-40B4-BE49-F238E27FC236}">
              <a16:creationId xmlns:a16="http://schemas.microsoft.com/office/drawing/2014/main" id="{00000000-0008-0000-4300-00000E000000}"/>
            </a:ext>
          </a:extLst>
        </xdr:cNvPr>
        <xdr:cNvSpPr/>
      </xdr:nvSpPr>
      <xdr:spPr>
        <a:xfrm>
          <a:off x="6410325" y="86772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209550</xdr:colOff>
      <xdr:row>31</xdr:row>
      <xdr:rowOff>95250</xdr:rowOff>
    </xdr:from>
    <xdr:to>
      <xdr:col>16</xdr:col>
      <xdr:colOff>438150</xdr:colOff>
      <xdr:row>32</xdr:row>
      <xdr:rowOff>66675</xdr:rowOff>
    </xdr:to>
    <xdr:sp macro="" textlink="">
      <xdr:nvSpPr>
        <xdr:cNvPr id="15" name="타원 14">
          <a:extLst>
            <a:ext uri="{FF2B5EF4-FFF2-40B4-BE49-F238E27FC236}">
              <a16:creationId xmlns:a16="http://schemas.microsoft.com/office/drawing/2014/main" id="{00000000-0008-0000-4300-00000F000000}"/>
            </a:ext>
          </a:extLst>
        </xdr:cNvPr>
        <xdr:cNvSpPr/>
      </xdr:nvSpPr>
      <xdr:spPr>
        <a:xfrm>
          <a:off x="6381750" y="6829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32</xdr:row>
      <xdr:rowOff>133350</xdr:rowOff>
    </xdr:from>
    <xdr:to>
      <xdr:col>16</xdr:col>
      <xdr:colOff>447675</xdr:colOff>
      <xdr:row>33</xdr:row>
      <xdr:rowOff>104775</xdr:rowOff>
    </xdr:to>
    <xdr:sp macro="" textlink="">
      <xdr:nvSpPr>
        <xdr:cNvPr id="16" name="타원 15">
          <a:extLst>
            <a:ext uri="{FF2B5EF4-FFF2-40B4-BE49-F238E27FC236}">
              <a16:creationId xmlns:a16="http://schemas.microsoft.com/office/drawing/2014/main" id="{00000000-0008-0000-4300-000010000000}"/>
            </a:ext>
          </a:extLst>
        </xdr:cNvPr>
        <xdr:cNvSpPr/>
      </xdr:nvSpPr>
      <xdr:spPr>
        <a:xfrm>
          <a:off x="6391275" y="71247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33</xdr:row>
      <xdr:rowOff>209550</xdr:rowOff>
    </xdr:from>
    <xdr:to>
      <xdr:col>16</xdr:col>
      <xdr:colOff>447675</xdr:colOff>
      <xdr:row>34</xdr:row>
      <xdr:rowOff>180975</xdr:rowOff>
    </xdr:to>
    <xdr:sp macro="" textlink="">
      <xdr:nvSpPr>
        <xdr:cNvPr id="17" name="타원 16">
          <a:extLst>
            <a:ext uri="{FF2B5EF4-FFF2-40B4-BE49-F238E27FC236}">
              <a16:creationId xmlns:a16="http://schemas.microsoft.com/office/drawing/2014/main" id="{00000000-0008-0000-4300-000011000000}"/>
            </a:ext>
          </a:extLst>
        </xdr:cNvPr>
        <xdr:cNvSpPr/>
      </xdr:nvSpPr>
      <xdr:spPr>
        <a:xfrm>
          <a:off x="6391275" y="7458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238125</xdr:colOff>
      <xdr:row>38</xdr:row>
      <xdr:rowOff>142875</xdr:rowOff>
    </xdr:from>
    <xdr:to>
      <xdr:col>16</xdr:col>
      <xdr:colOff>466725</xdr:colOff>
      <xdr:row>39</xdr:row>
      <xdr:rowOff>114300</xdr:rowOff>
    </xdr:to>
    <xdr:sp macro="" textlink="">
      <xdr:nvSpPr>
        <xdr:cNvPr id="18" name="타원 17">
          <a:extLst>
            <a:ext uri="{FF2B5EF4-FFF2-40B4-BE49-F238E27FC236}">
              <a16:creationId xmlns:a16="http://schemas.microsoft.com/office/drawing/2014/main" id="{00000000-0008-0000-4300-000012000000}"/>
            </a:ext>
          </a:extLst>
        </xdr:cNvPr>
        <xdr:cNvSpPr/>
      </xdr:nvSpPr>
      <xdr:spPr>
        <a:xfrm>
          <a:off x="6410325" y="86772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209550</xdr:colOff>
      <xdr:row>30</xdr:row>
      <xdr:rowOff>95250</xdr:rowOff>
    </xdr:from>
    <xdr:to>
      <xdr:col>24</xdr:col>
      <xdr:colOff>438150</xdr:colOff>
      <xdr:row>31</xdr:row>
      <xdr:rowOff>66675</xdr:rowOff>
    </xdr:to>
    <xdr:sp macro="" textlink="">
      <xdr:nvSpPr>
        <xdr:cNvPr id="19" name="타원 18">
          <a:extLst>
            <a:ext uri="{FF2B5EF4-FFF2-40B4-BE49-F238E27FC236}">
              <a16:creationId xmlns:a16="http://schemas.microsoft.com/office/drawing/2014/main" id="{00000000-0008-0000-4300-000013000000}"/>
            </a:ext>
          </a:extLst>
        </xdr:cNvPr>
        <xdr:cNvSpPr/>
      </xdr:nvSpPr>
      <xdr:spPr>
        <a:xfrm>
          <a:off x="10096500" y="6829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219075</xdr:colOff>
      <xdr:row>31</xdr:row>
      <xdr:rowOff>133350</xdr:rowOff>
    </xdr:from>
    <xdr:to>
      <xdr:col>24</xdr:col>
      <xdr:colOff>447675</xdr:colOff>
      <xdr:row>32</xdr:row>
      <xdr:rowOff>104775</xdr:rowOff>
    </xdr:to>
    <xdr:sp macro="" textlink="">
      <xdr:nvSpPr>
        <xdr:cNvPr id="20" name="타원 19">
          <a:extLst>
            <a:ext uri="{FF2B5EF4-FFF2-40B4-BE49-F238E27FC236}">
              <a16:creationId xmlns:a16="http://schemas.microsoft.com/office/drawing/2014/main" id="{00000000-0008-0000-4300-000014000000}"/>
            </a:ext>
          </a:extLst>
        </xdr:cNvPr>
        <xdr:cNvSpPr/>
      </xdr:nvSpPr>
      <xdr:spPr>
        <a:xfrm>
          <a:off x="10106025" y="71247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219075</xdr:colOff>
      <xdr:row>32</xdr:row>
      <xdr:rowOff>209550</xdr:rowOff>
    </xdr:from>
    <xdr:to>
      <xdr:col>24</xdr:col>
      <xdr:colOff>447675</xdr:colOff>
      <xdr:row>33</xdr:row>
      <xdr:rowOff>180975</xdr:rowOff>
    </xdr:to>
    <xdr:sp macro="" textlink="">
      <xdr:nvSpPr>
        <xdr:cNvPr id="21" name="타원 20">
          <a:extLst>
            <a:ext uri="{FF2B5EF4-FFF2-40B4-BE49-F238E27FC236}">
              <a16:creationId xmlns:a16="http://schemas.microsoft.com/office/drawing/2014/main" id="{00000000-0008-0000-4300-000015000000}"/>
            </a:ext>
          </a:extLst>
        </xdr:cNvPr>
        <xdr:cNvSpPr/>
      </xdr:nvSpPr>
      <xdr:spPr>
        <a:xfrm>
          <a:off x="10106025" y="7458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238125</xdr:colOff>
      <xdr:row>37</xdr:row>
      <xdr:rowOff>142875</xdr:rowOff>
    </xdr:from>
    <xdr:to>
      <xdr:col>24</xdr:col>
      <xdr:colOff>466725</xdr:colOff>
      <xdr:row>38</xdr:row>
      <xdr:rowOff>114300</xdr:rowOff>
    </xdr:to>
    <xdr:sp macro="" textlink="">
      <xdr:nvSpPr>
        <xdr:cNvPr id="22" name="타원 21">
          <a:extLst>
            <a:ext uri="{FF2B5EF4-FFF2-40B4-BE49-F238E27FC236}">
              <a16:creationId xmlns:a16="http://schemas.microsoft.com/office/drawing/2014/main" id="{00000000-0008-0000-4300-000016000000}"/>
            </a:ext>
          </a:extLst>
        </xdr:cNvPr>
        <xdr:cNvSpPr/>
      </xdr:nvSpPr>
      <xdr:spPr>
        <a:xfrm>
          <a:off x="10125075" y="86772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438150</xdr:colOff>
      <xdr:row>29</xdr:row>
      <xdr:rowOff>180975</xdr:rowOff>
    </xdr:from>
    <xdr:to>
      <xdr:col>11</xdr:col>
      <xdr:colOff>0</xdr:colOff>
      <xdr:row>31</xdr:row>
      <xdr:rowOff>209550</xdr:rowOff>
    </xdr:to>
    <xdr:cxnSp macro="">
      <xdr:nvCxnSpPr>
        <xdr:cNvPr id="24" name="직선 연결선 23">
          <a:extLst>
            <a:ext uri="{FF2B5EF4-FFF2-40B4-BE49-F238E27FC236}">
              <a16:creationId xmlns:a16="http://schemas.microsoft.com/office/drawing/2014/main" id="{00000000-0008-0000-4300-000018000000}"/>
            </a:ext>
          </a:extLst>
        </xdr:cNvPr>
        <xdr:cNvCxnSpPr>
          <a:stCxn id="11" idx="6"/>
        </xdr:cNvCxnSpPr>
      </xdr:nvCxnSpPr>
      <xdr:spPr>
        <a:xfrm flipV="1">
          <a:off x="6610350" y="6400800"/>
          <a:ext cx="933450" cy="5429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466725</xdr:colOff>
      <xdr:row>29</xdr:row>
      <xdr:rowOff>180975</xdr:rowOff>
    </xdr:from>
    <xdr:to>
      <xdr:col>18</xdr:col>
      <xdr:colOff>28575</xdr:colOff>
      <xdr:row>31</xdr:row>
      <xdr:rowOff>209550</xdr:rowOff>
    </xdr:to>
    <xdr:cxnSp macro="">
      <xdr:nvCxnSpPr>
        <xdr:cNvPr id="25" name="직선 연결선 24">
          <a:extLst>
            <a:ext uri="{FF2B5EF4-FFF2-40B4-BE49-F238E27FC236}">
              <a16:creationId xmlns:a16="http://schemas.microsoft.com/office/drawing/2014/main" id="{00000000-0008-0000-4300-000019000000}"/>
            </a:ext>
          </a:extLst>
        </xdr:cNvPr>
        <xdr:cNvCxnSpPr/>
      </xdr:nvCxnSpPr>
      <xdr:spPr>
        <a:xfrm flipV="1">
          <a:off x="10353675" y="6400800"/>
          <a:ext cx="933450" cy="5429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285750</xdr:colOff>
      <xdr:row>34</xdr:row>
      <xdr:rowOff>180975</xdr:rowOff>
    </xdr:from>
    <xdr:to>
      <xdr:col>32</xdr:col>
      <xdr:colOff>419100</xdr:colOff>
      <xdr:row>35</xdr:row>
      <xdr:rowOff>123825</xdr:rowOff>
    </xdr:to>
    <xdr:sp macro="" textlink="">
      <xdr:nvSpPr>
        <xdr:cNvPr id="26" name="타원 25">
          <a:extLst>
            <a:ext uri="{FF2B5EF4-FFF2-40B4-BE49-F238E27FC236}">
              <a16:creationId xmlns:a16="http://schemas.microsoft.com/office/drawing/2014/main" id="{00000000-0008-0000-4300-00001A000000}"/>
            </a:ext>
          </a:extLst>
        </xdr:cNvPr>
        <xdr:cNvSpPr/>
      </xdr:nvSpPr>
      <xdr:spPr>
        <a:xfrm>
          <a:off x="19545300" y="7686675"/>
          <a:ext cx="133350" cy="20002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304800</xdr:colOff>
      <xdr:row>37</xdr:row>
      <xdr:rowOff>95250</xdr:rowOff>
    </xdr:from>
    <xdr:to>
      <xdr:col>32</xdr:col>
      <xdr:colOff>438150</xdr:colOff>
      <xdr:row>38</xdr:row>
      <xdr:rowOff>38100</xdr:rowOff>
    </xdr:to>
    <xdr:sp macro="" textlink="">
      <xdr:nvSpPr>
        <xdr:cNvPr id="27" name="타원 26">
          <a:extLst>
            <a:ext uri="{FF2B5EF4-FFF2-40B4-BE49-F238E27FC236}">
              <a16:creationId xmlns:a16="http://schemas.microsoft.com/office/drawing/2014/main" id="{00000000-0008-0000-4300-00001B000000}"/>
            </a:ext>
          </a:extLst>
        </xdr:cNvPr>
        <xdr:cNvSpPr/>
      </xdr:nvSpPr>
      <xdr:spPr>
        <a:xfrm>
          <a:off x="19564350" y="8372475"/>
          <a:ext cx="133350" cy="20002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285750</xdr:colOff>
      <xdr:row>35</xdr:row>
      <xdr:rowOff>180975</xdr:rowOff>
    </xdr:from>
    <xdr:to>
      <xdr:col>35</xdr:col>
      <xdr:colOff>419100</xdr:colOff>
      <xdr:row>36</xdr:row>
      <xdr:rowOff>123825</xdr:rowOff>
    </xdr:to>
    <xdr:sp macro="" textlink="">
      <xdr:nvSpPr>
        <xdr:cNvPr id="28" name="타원 27">
          <a:extLst>
            <a:ext uri="{FF2B5EF4-FFF2-40B4-BE49-F238E27FC236}">
              <a16:creationId xmlns:a16="http://schemas.microsoft.com/office/drawing/2014/main" id="{00000000-0008-0000-4300-00001C000000}"/>
            </a:ext>
          </a:extLst>
        </xdr:cNvPr>
        <xdr:cNvSpPr/>
      </xdr:nvSpPr>
      <xdr:spPr>
        <a:xfrm>
          <a:off x="19907250" y="7686675"/>
          <a:ext cx="133350" cy="20002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180974</xdr:colOff>
      <xdr:row>86</xdr:row>
      <xdr:rowOff>95250</xdr:rowOff>
    </xdr:from>
    <xdr:to>
      <xdr:col>16</xdr:col>
      <xdr:colOff>457199</xdr:colOff>
      <xdr:row>87</xdr:row>
      <xdr:rowOff>171450</xdr:rowOff>
    </xdr:to>
    <xdr:sp macro="" textlink="">
      <xdr:nvSpPr>
        <xdr:cNvPr id="30" name="타원 29">
          <a:extLst>
            <a:ext uri="{FF2B5EF4-FFF2-40B4-BE49-F238E27FC236}">
              <a16:creationId xmlns:a16="http://schemas.microsoft.com/office/drawing/2014/main" id="{00000000-0008-0000-4300-00001E000000}"/>
            </a:ext>
          </a:extLst>
        </xdr:cNvPr>
        <xdr:cNvSpPr/>
      </xdr:nvSpPr>
      <xdr:spPr>
        <a:xfrm>
          <a:off x="10067924" y="19354800"/>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209549</xdr:colOff>
      <xdr:row>92</xdr:row>
      <xdr:rowOff>152400</xdr:rowOff>
    </xdr:from>
    <xdr:to>
      <xdr:col>16</xdr:col>
      <xdr:colOff>485774</xdr:colOff>
      <xdr:row>94</xdr:row>
      <xdr:rowOff>19050</xdr:rowOff>
    </xdr:to>
    <xdr:sp macro="" textlink="">
      <xdr:nvSpPr>
        <xdr:cNvPr id="31" name="타원 30">
          <a:extLst>
            <a:ext uri="{FF2B5EF4-FFF2-40B4-BE49-F238E27FC236}">
              <a16:creationId xmlns:a16="http://schemas.microsoft.com/office/drawing/2014/main" id="{00000000-0008-0000-4300-00001F000000}"/>
            </a:ext>
          </a:extLst>
        </xdr:cNvPr>
        <xdr:cNvSpPr/>
      </xdr:nvSpPr>
      <xdr:spPr>
        <a:xfrm>
          <a:off x="10096499" y="20669250"/>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20</xdr:col>
      <xdr:colOff>95249</xdr:colOff>
      <xdr:row>86</xdr:row>
      <xdr:rowOff>123825</xdr:rowOff>
    </xdr:from>
    <xdr:to>
      <xdr:col>21</xdr:col>
      <xdr:colOff>38099</xdr:colOff>
      <xdr:row>87</xdr:row>
      <xdr:rowOff>200025</xdr:rowOff>
    </xdr:to>
    <xdr:sp macro="" textlink="">
      <xdr:nvSpPr>
        <xdr:cNvPr id="32" name="타원 31">
          <a:extLst>
            <a:ext uri="{FF2B5EF4-FFF2-40B4-BE49-F238E27FC236}">
              <a16:creationId xmlns:a16="http://schemas.microsoft.com/office/drawing/2014/main" id="{00000000-0008-0000-4300-000020000000}"/>
            </a:ext>
          </a:extLst>
        </xdr:cNvPr>
        <xdr:cNvSpPr/>
      </xdr:nvSpPr>
      <xdr:spPr>
        <a:xfrm>
          <a:off x="12020549" y="19383375"/>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20</xdr:col>
      <xdr:colOff>76199</xdr:colOff>
      <xdr:row>92</xdr:row>
      <xdr:rowOff>19050</xdr:rowOff>
    </xdr:from>
    <xdr:to>
      <xdr:col>21</xdr:col>
      <xdr:colOff>19049</xdr:colOff>
      <xdr:row>93</xdr:row>
      <xdr:rowOff>95250</xdr:rowOff>
    </xdr:to>
    <xdr:sp macro="" textlink="">
      <xdr:nvSpPr>
        <xdr:cNvPr id="34" name="타원 33">
          <a:extLst>
            <a:ext uri="{FF2B5EF4-FFF2-40B4-BE49-F238E27FC236}">
              <a16:creationId xmlns:a16="http://schemas.microsoft.com/office/drawing/2014/main" id="{00000000-0008-0000-4300-000022000000}"/>
            </a:ext>
          </a:extLst>
        </xdr:cNvPr>
        <xdr:cNvSpPr/>
      </xdr:nvSpPr>
      <xdr:spPr>
        <a:xfrm>
          <a:off x="12001499" y="20535900"/>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23</xdr:col>
      <xdr:colOff>95249</xdr:colOff>
      <xdr:row>88</xdr:row>
      <xdr:rowOff>123825</xdr:rowOff>
    </xdr:from>
    <xdr:to>
      <xdr:col>23</xdr:col>
      <xdr:colOff>342900</xdr:colOff>
      <xdr:row>89</xdr:row>
      <xdr:rowOff>200025</xdr:rowOff>
    </xdr:to>
    <xdr:sp macro="" textlink="">
      <xdr:nvSpPr>
        <xdr:cNvPr id="35" name="타원 34">
          <a:extLst>
            <a:ext uri="{FF2B5EF4-FFF2-40B4-BE49-F238E27FC236}">
              <a16:creationId xmlns:a16="http://schemas.microsoft.com/office/drawing/2014/main" id="{00000000-0008-0000-4300-000023000000}"/>
            </a:ext>
          </a:extLst>
        </xdr:cNvPr>
        <xdr:cNvSpPr/>
      </xdr:nvSpPr>
      <xdr:spPr>
        <a:xfrm>
          <a:off x="13725524" y="19802475"/>
          <a:ext cx="247651"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9.xml><?xml version="1.0" encoding="utf-8"?>
<xdr:wsDr xmlns:xdr="http://schemas.openxmlformats.org/drawingml/2006/spreadsheetDrawing" xmlns:a="http://schemas.openxmlformats.org/drawingml/2006/main">
  <xdr:twoCellAnchor>
    <xdr:from>
      <xdr:col>1</xdr:col>
      <xdr:colOff>5443</xdr:colOff>
      <xdr:row>5</xdr:row>
      <xdr:rowOff>10886</xdr:rowOff>
    </xdr:from>
    <xdr:to>
      <xdr:col>5</xdr:col>
      <xdr:colOff>0</xdr:colOff>
      <xdr:row>8</xdr:row>
      <xdr:rowOff>10886</xdr:rowOff>
    </xdr:to>
    <xdr:sp macro="" textlink="">
      <xdr:nvSpPr>
        <xdr:cNvPr id="2" name="직사각형 1">
          <a:extLst>
            <a:ext uri="{FF2B5EF4-FFF2-40B4-BE49-F238E27FC236}">
              <a16:creationId xmlns:a16="http://schemas.microsoft.com/office/drawing/2014/main" id="{00000000-0008-0000-4600-000002000000}"/>
            </a:ext>
          </a:extLst>
        </xdr:cNvPr>
        <xdr:cNvSpPr/>
      </xdr:nvSpPr>
      <xdr:spPr>
        <a:xfrm>
          <a:off x="691243" y="1148443"/>
          <a:ext cx="843643" cy="63681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87086</xdr:colOff>
      <xdr:row>2</xdr:row>
      <xdr:rowOff>16329</xdr:rowOff>
    </xdr:from>
    <xdr:to>
      <xdr:col>23</xdr:col>
      <xdr:colOff>244929</xdr:colOff>
      <xdr:row>4</xdr:row>
      <xdr:rowOff>152400</xdr:rowOff>
    </xdr:to>
    <xdr:sp macro="" textlink="">
      <xdr:nvSpPr>
        <xdr:cNvPr id="3" name="직사각형 2">
          <a:extLst>
            <a:ext uri="{FF2B5EF4-FFF2-40B4-BE49-F238E27FC236}">
              <a16:creationId xmlns:a16="http://schemas.microsoft.com/office/drawing/2014/main" id="{00000000-0008-0000-4600-000003000000}"/>
            </a:ext>
          </a:extLst>
        </xdr:cNvPr>
        <xdr:cNvSpPr/>
      </xdr:nvSpPr>
      <xdr:spPr>
        <a:xfrm>
          <a:off x="6357257" y="440872"/>
          <a:ext cx="843643" cy="63681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0</xdr:colOff>
      <xdr:row>6</xdr:row>
      <xdr:rowOff>5442</xdr:rowOff>
    </xdr:from>
    <xdr:to>
      <xdr:col>8</xdr:col>
      <xdr:colOff>0</xdr:colOff>
      <xdr:row>7</xdr:row>
      <xdr:rowOff>5443</xdr:rowOff>
    </xdr:to>
    <xdr:sp macro="" textlink="">
      <xdr:nvSpPr>
        <xdr:cNvPr id="4" name="직사각형 3">
          <a:extLst>
            <a:ext uri="{FF2B5EF4-FFF2-40B4-BE49-F238E27FC236}">
              <a16:creationId xmlns:a16="http://schemas.microsoft.com/office/drawing/2014/main" id="{00000000-0008-0000-4600-000004000000}"/>
            </a:ext>
          </a:extLst>
        </xdr:cNvPr>
        <xdr:cNvSpPr/>
      </xdr:nvSpPr>
      <xdr:spPr>
        <a:xfrm>
          <a:off x="1959429" y="1355271"/>
          <a:ext cx="212271" cy="21227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xdr:col>
      <xdr:colOff>5443</xdr:colOff>
      <xdr:row>5</xdr:row>
      <xdr:rowOff>1</xdr:rowOff>
    </xdr:from>
    <xdr:to>
      <xdr:col>9</xdr:col>
      <xdr:colOff>5443</xdr:colOff>
      <xdr:row>13</xdr:row>
      <xdr:rowOff>10885</xdr:rowOff>
    </xdr:to>
    <xdr:sp macro="" textlink="">
      <xdr:nvSpPr>
        <xdr:cNvPr id="5" name="직사각형 4">
          <a:extLst>
            <a:ext uri="{FF2B5EF4-FFF2-40B4-BE49-F238E27FC236}">
              <a16:creationId xmlns:a16="http://schemas.microsoft.com/office/drawing/2014/main" id="{00000000-0008-0000-4600-000005000000}"/>
            </a:ext>
          </a:extLst>
        </xdr:cNvPr>
        <xdr:cNvSpPr/>
      </xdr:nvSpPr>
      <xdr:spPr>
        <a:xfrm>
          <a:off x="691243" y="1137558"/>
          <a:ext cx="1698171" cy="170905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206829</xdr:colOff>
      <xdr:row>8</xdr:row>
      <xdr:rowOff>10886</xdr:rowOff>
    </xdr:from>
    <xdr:to>
      <xdr:col>7</xdr:col>
      <xdr:colOff>206828</xdr:colOff>
      <xdr:row>12</xdr:row>
      <xdr:rowOff>10885</xdr:rowOff>
    </xdr:to>
    <xdr:sp macro="" textlink="">
      <xdr:nvSpPr>
        <xdr:cNvPr id="6" name="직사각형 5">
          <a:extLst>
            <a:ext uri="{FF2B5EF4-FFF2-40B4-BE49-F238E27FC236}">
              <a16:creationId xmlns:a16="http://schemas.microsoft.com/office/drawing/2014/main" id="{00000000-0008-0000-4600-000006000000}"/>
            </a:ext>
          </a:extLst>
        </xdr:cNvPr>
        <xdr:cNvSpPr/>
      </xdr:nvSpPr>
      <xdr:spPr>
        <a:xfrm>
          <a:off x="1104900" y="1785257"/>
          <a:ext cx="1061357" cy="84908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2</xdr:col>
      <xdr:colOff>0</xdr:colOff>
      <xdr:row>2</xdr:row>
      <xdr:rowOff>185057</xdr:rowOff>
    </xdr:from>
    <xdr:to>
      <xdr:col>10</xdr:col>
      <xdr:colOff>16329</xdr:colOff>
      <xdr:row>10</xdr:row>
      <xdr:rowOff>206829</xdr:rowOff>
    </xdr:to>
    <xdr:cxnSp macro="">
      <xdr:nvCxnSpPr>
        <xdr:cNvPr id="3" name="직선 연결선 2">
          <a:extLst>
            <a:ext uri="{FF2B5EF4-FFF2-40B4-BE49-F238E27FC236}">
              <a16:creationId xmlns:a16="http://schemas.microsoft.com/office/drawing/2014/main" id="{00000000-0008-0000-0700-000003000000}"/>
            </a:ext>
          </a:extLst>
        </xdr:cNvPr>
        <xdr:cNvCxnSpPr/>
      </xdr:nvCxnSpPr>
      <xdr:spPr>
        <a:xfrm flipH="1">
          <a:off x="533400" y="609600"/>
          <a:ext cx="2149929" cy="172538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244929</xdr:colOff>
      <xdr:row>1</xdr:row>
      <xdr:rowOff>146958</xdr:rowOff>
    </xdr:from>
    <xdr:to>
      <xdr:col>8</xdr:col>
      <xdr:colOff>228600</xdr:colOff>
      <xdr:row>12</xdr:row>
      <xdr:rowOff>119743</xdr:rowOff>
    </xdr:to>
    <xdr:cxnSp macro="">
      <xdr:nvCxnSpPr>
        <xdr:cNvPr id="4" name="직선 연결선 3">
          <a:extLst>
            <a:ext uri="{FF2B5EF4-FFF2-40B4-BE49-F238E27FC236}">
              <a16:creationId xmlns:a16="http://schemas.microsoft.com/office/drawing/2014/main" id="{00000000-0008-0000-0700-000004000000}"/>
            </a:ext>
          </a:extLst>
        </xdr:cNvPr>
        <xdr:cNvCxnSpPr/>
      </xdr:nvCxnSpPr>
      <xdr:spPr>
        <a:xfrm flipH="1">
          <a:off x="778329" y="359229"/>
          <a:ext cx="1583871" cy="2313214"/>
        </a:xfrm>
        <a:prstGeom prst="line">
          <a:avLst/>
        </a:prstGeom>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223157</xdr:colOff>
      <xdr:row>1</xdr:row>
      <xdr:rowOff>87087</xdr:rowOff>
    </xdr:from>
    <xdr:to>
      <xdr:col>7</xdr:col>
      <xdr:colOff>239487</xdr:colOff>
      <xdr:row>13</xdr:row>
      <xdr:rowOff>38100</xdr:rowOff>
    </xdr:to>
    <xdr:cxnSp macro="">
      <xdr:nvCxnSpPr>
        <xdr:cNvPr id="9" name="직선 연결선 8">
          <a:extLst>
            <a:ext uri="{FF2B5EF4-FFF2-40B4-BE49-F238E27FC236}">
              <a16:creationId xmlns:a16="http://schemas.microsoft.com/office/drawing/2014/main" id="{00000000-0008-0000-0700-000009000000}"/>
            </a:ext>
          </a:extLst>
        </xdr:cNvPr>
        <xdr:cNvCxnSpPr/>
      </xdr:nvCxnSpPr>
      <xdr:spPr>
        <a:xfrm flipH="1">
          <a:off x="1023257" y="299358"/>
          <a:ext cx="1083130" cy="2503713"/>
        </a:xfrm>
        <a:prstGeom prst="line">
          <a:avLst/>
        </a:prstGeom>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10</xdr:col>
      <xdr:colOff>43544</xdr:colOff>
      <xdr:row>2</xdr:row>
      <xdr:rowOff>32656</xdr:rowOff>
    </xdr:from>
    <xdr:to>
      <xdr:col>12</xdr:col>
      <xdr:colOff>48986</xdr:colOff>
      <xdr:row>3</xdr:row>
      <xdr:rowOff>70756</xdr:rowOff>
    </xdr:to>
    <xdr:sp macro="" textlink="">
      <xdr:nvSpPr>
        <xdr:cNvPr id="11" name="TextBox 10">
          <a:extLst>
            <a:ext uri="{FF2B5EF4-FFF2-40B4-BE49-F238E27FC236}">
              <a16:creationId xmlns:a16="http://schemas.microsoft.com/office/drawing/2014/main" id="{00000000-0008-0000-0700-00000B000000}"/>
            </a:ext>
          </a:extLst>
        </xdr:cNvPr>
        <xdr:cNvSpPr txBox="1"/>
      </xdr:nvSpPr>
      <xdr:spPr>
        <a:xfrm>
          <a:off x="2710544" y="457199"/>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a:t>
          </a:r>
          <a:endParaRPr lang="ko-KR" altLang="en-US" sz="1100"/>
        </a:p>
      </xdr:txBody>
    </xdr:sp>
    <xdr:clientData/>
  </xdr:twoCellAnchor>
  <xdr:twoCellAnchor>
    <xdr:from>
      <xdr:col>9</xdr:col>
      <xdr:colOff>38101</xdr:colOff>
      <xdr:row>0</xdr:row>
      <xdr:rowOff>185057</xdr:rowOff>
    </xdr:from>
    <xdr:to>
      <xdr:col>11</xdr:col>
      <xdr:colOff>43543</xdr:colOff>
      <xdr:row>2</xdr:row>
      <xdr:rowOff>10885</xdr:rowOff>
    </xdr:to>
    <xdr:sp macro="" textlink="">
      <xdr:nvSpPr>
        <xdr:cNvPr id="14" name="TextBox 13">
          <a:extLst>
            <a:ext uri="{FF2B5EF4-FFF2-40B4-BE49-F238E27FC236}">
              <a16:creationId xmlns:a16="http://schemas.microsoft.com/office/drawing/2014/main" id="{00000000-0008-0000-0700-00000E000000}"/>
            </a:ext>
          </a:extLst>
        </xdr:cNvPr>
        <xdr:cNvSpPr txBox="1"/>
      </xdr:nvSpPr>
      <xdr:spPr>
        <a:xfrm>
          <a:off x="2438401" y="185057"/>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y=2x</a:t>
          </a:r>
          <a:endParaRPr lang="ko-KR" altLang="en-US" sz="1100"/>
        </a:p>
      </xdr:txBody>
    </xdr:sp>
    <xdr:clientData/>
  </xdr:twoCellAnchor>
  <xdr:twoCellAnchor>
    <xdr:from>
      <xdr:col>6</xdr:col>
      <xdr:colOff>223158</xdr:colOff>
      <xdr:row>0</xdr:row>
      <xdr:rowOff>43543</xdr:rowOff>
    </xdr:from>
    <xdr:to>
      <xdr:col>8</xdr:col>
      <xdr:colOff>228600</xdr:colOff>
      <xdr:row>1</xdr:row>
      <xdr:rowOff>81643</xdr:rowOff>
    </xdr:to>
    <xdr:sp macro="" textlink="">
      <xdr:nvSpPr>
        <xdr:cNvPr id="15" name="TextBox 14">
          <a:extLst>
            <a:ext uri="{FF2B5EF4-FFF2-40B4-BE49-F238E27FC236}">
              <a16:creationId xmlns:a16="http://schemas.microsoft.com/office/drawing/2014/main" id="{00000000-0008-0000-0700-00000F000000}"/>
            </a:ext>
          </a:extLst>
        </xdr:cNvPr>
        <xdr:cNvSpPr txBox="1"/>
      </xdr:nvSpPr>
      <xdr:spPr>
        <a:xfrm>
          <a:off x="1823358" y="43543"/>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y=3x</a:t>
          </a:r>
          <a:endParaRPr lang="ko-KR" altLang="en-US" sz="1100"/>
        </a:p>
      </xdr:txBody>
    </xdr:sp>
    <xdr:clientData/>
  </xdr:twoCellAnchor>
  <xdr:twoCellAnchor>
    <xdr:from>
      <xdr:col>1</xdr:col>
      <xdr:colOff>27214</xdr:colOff>
      <xdr:row>17</xdr:row>
      <xdr:rowOff>136071</xdr:rowOff>
    </xdr:from>
    <xdr:to>
      <xdr:col>10</xdr:col>
      <xdr:colOff>163286</xdr:colOff>
      <xdr:row>27</xdr:row>
      <xdr:rowOff>201386</xdr:rowOff>
    </xdr:to>
    <xdr:cxnSp macro="">
      <xdr:nvCxnSpPr>
        <xdr:cNvPr id="16" name="직선 연결선 15">
          <a:extLst>
            <a:ext uri="{FF2B5EF4-FFF2-40B4-BE49-F238E27FC236}">
              <a16:creationId xmlns:a16="http://schemas.microsoft.com/office/drawing/2014/main" id="{00000000-0008-0000-0700-000010000000}"/>
            </a:ext>
          </a:extLst>
        </xdr:cNvPr>
        <xdr:cNvCxnSpPr/>
      </xdr:nvCxnSpPr>
      <xdr:spPr>
        <a:xfrm>
          <a:off x="293914" y="3750128"/>
          <a:ext cx="2536372" cy="2193472"/>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43543</xdr:colOff>
      <xdr:row>16</xdr:row>
      <xdr:rowOff>21771</xdr:rowOff>
    </xdr:from>
    <xdr:to>
      <xdr:col>7</xdr:col>
      <xdr:colOff>244929</xdr:colOff>
      <xdr:row>29</xdr:row>
      <xdr:rowOff>146957</xdr:rowOff>
    </xdr:to>
    <xdr:cxnSp macro="">
      <xdr:nvCxnSpPr>
        <xdr:cNvPr id="17" name="직선 연결선 16">
          <a:extLst>
            <a:ext uri="{FF2B5EF4-FFF2-40B4-BE49-F238E27FC236}">
              <a16:creationId xmlns:a16="http://schemas.microsoft.com/office/drawing/2014/main" id="{00000000-0008-0000-0700-000011000000}"/>
            </a:ext>
          </a:extLst>
        </xdr:cNvPr>
        <xdr:cNvCxnSpPr/>
      </xdr:nvCxnSpPr>
      <xdr:spPr>
        <a:xfrm>
          <a:off x="1110343" y="3423557"/>
          <a:ext cx="1001486" cy="2890157"/>
        </a:xfrm>
        <a:prstGeom prst="line">
          <a:avLst/>
        </a:prstGeom>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2</xdr:col>
      <xdr:colOff>212271</xdr:colOff>
      <xdr:row>16</xdr:row>
      <xdr:rowOff>130628</xdr:rowOff>
    </xdr:from>
    <xdr:to>
      <xdr:col>9</xdr:col>
      <xdr:colOff>87086</xdr:colOff>
      <xdr:row>29</xdr:row>
      <xdr:rowOff>81643</xdr:rowOff>
    </xdr:to>
    <xdr:cxnSp macro="">
      <xdr:nvCxnSpPr>
        <xdr:cNvPr id="18" name="직선 연결선 17">
          <a:extLst>
            <a:ext uri="{FF2B5EF4-FFF2-40B4-BE49-F238E27FC236}">
              <a16:creationId xmlns:a16="http://schemas.microsoft.com/office/drawing/2014/main" id="{00000000-0008-0000-0700-000012000000}"/>
            </a:ext>
          </a:extLst>
        </xdr:cNvPr>
        <xdr:cNvCxnSpPr/>
      </xdr:nvCxnSpPr>
      <xdr:spPr>
        <a:xfrm>
          <a:off x="745671" y="3532414"/>
          <a:ext cx="1741715" cy="2715986"/>
        </a:xfrm>
        <a:prstGeom prst="line">
          <a:avLst/>
        </a:prstGeom>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0</xdr:col>
      <xdr:colOff>108859</xdr:colOff>
      <xdr:row>17</xdr:row>
      <xdr:rowOff>10885</xdr:rowOff>
    </xdr:from>
    <xdr:to>
      <xdr:col>2</xdr:col>
      <xdr:colOff>114301</xdr:colOff>
      <xdr:row>18</xdr:row>
      <xdr:rowOff>48984</xdr:rowOff>
    </xdr:to>
    <xdr:sp macro="" textlink="">
      <xdr:nvSpPr>
        <xdr:cNvPr id="19" name="TextBox 18">
          <a:extLst>
            <a:ext uri="{FF2B5EF4-FFF2-40B4-BE49-F238E27FC236}">
              <a16:creationId xmlns:a16="http://schemas.microsoft.com/office/drawing/2014/main" id="{00000000-0008-0000-0700-000013000000}"/>
            </a:ext>
          </a:extLst>
        </xdr:cNvPr>
        <xdr:cNvSpPr txBox="1"/>
      </xdr:nvSpPr>
      <xdr:spPr>
        <a:xfrm>
          <a:off x="108859" y="3624942"/>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a:t>
          </a:r>
          <a:endParaRPr lang="ko-KR" altLang="en-US" sz="1100"/>
        </a:p>
      </xdr:txBody>
    </xdr:sp>
    <xdr:clientData/>
  </xdr:twoCellAnchor>
  <xdr:twoCellAnchor>
    <xdr:from>
      <xdr:col>1</xdr:col>
      <xdr:colOff>174172</xdr:colOff>
      <xdr:row>15</xdr:row>
      <xdr:rowOff>136072</xdr:rowOff>
    </xdr:from>
    <xdr:to>
      <xdr:col>3</xdr:col>
      <xdr:colOff>179614</xdr:colOff>
      <xdr:row>16</xdr:row>
      <xdr:rowOff>174171</xdr:rowOff>
    </xdr:to>
    <xdr:sp macro="" textlink="">
      <xdr:nvSpPr>
        <xdr:cNvPr id="20" name="TextBox 19">
          <a:extLst>
            <a:ext uri="{FF2B5EF4-FFF2-40B4-BE49-F238E27FC236}">
              <a16:creationId xmlns:a16="http://schemas.microsoft.com/office/drawing/2014/main" id="{00000000-0008-0000-0700-000014000000}"/>
            </a:ext>
          </a:extLst>
        </xdr:cNvPr>
        <xdr:cNvSpPr txBox="1"/>
      </xdr:nvSpPr>
      <xdr:spPr>
        <a:xfrm>
          <a:off x="440872" y="3325586"/>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y=-2x</a:t>
          </a:r>
          <a:endParaRPr lang="ko-KR" altLang="en-US" sz="1100"/>
        </a:p>
      </xdr:txBody>
    </xdr:sp>
    <xdr:clientData/>
  </xdr:twoCellAnchor>
  <xdr:twoCellAnchor>
    <xdr:from>
      <xdr:col>4</xdr:col>
      <xdr:colOff>59873</xdr:colOff>
      <xdr:row>15</xdr:row>
      <xdr:rowOff>10886</xdr:rowOff>
    </xdr:from>
    <xdr:to>
      <xdr:col>6</xdr:col>
      <xdr:colOff>65315</xdr:colOff>
      <xdr:row>16</xdr:row>
      <xdr:rowOff>48985</xdr:rowOff>
    </xdr:to>
    <xdr:sp macro="" textlink="">
      <xdr:nvSpPr>
        <xdr:cNvPr id="21" name="TextBox 20">
          <a:extLst>
            <a:ext uri="{FF2B5EF4-FFF2-40B4-BE49-F238E27FC236}">
              <a16:creationId xmlns:a16="http://schemas.microsoft.com/office/drawing/2014/main" id="{00000000-0008-0000-0700-000015000000}"/>
            </a:ext>
          </a:extLst>
        </xdr:cNvPr>
        <xdr:cNvSpPr txBox="1"/>
      </xdr:nvSpPr>
      <xdr:spPr>
        <a:xfrm>
          <a:off x="1126673" y="3200400"/>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y=-3x</a:t>
          </a:r>
          <a:endParaRPr lang="ko-KR" altLang="en-US" sz="1100"/>
        </a:p>
      </xdr:txBody>
    </xdr:sp>
    <xdr:clientData/>
  </xdr:twoCellAnchor>
  <xdr:twoCellAnchor>
    <xdr:from>
      <xdr:col>3</xdr:col>
      <xdr:colOff>0</xdr:colOff>
      <xdr:row>34</xdr:row>
      <xdr:rowOff>185057</xdr:rowOff>
    </xdr:from>
    <xdr:to>
      <xdr:col>11</xdr:col>
      <xdr:colOff>16329</xdr:colOff>
      <xdr:row>42</xdr:row>
      <xdr:rowOff>206829</xdr:rowOff>
    </xdr:to>
    <xdr:cxnSp macro="">
      <xdr:nvCxnSpPr>
        <xdr:cNvPr id="43" name="직선 연결선 42">
          <a:extLst>
            <a:ext uri="{FF2B5EF4-FFF2-40B4-BE49-F238E27FC236}">
              <a16:creationId xmlns:a16="http://schemas.microsoft.com/office/drawing/2014/main" id="{00000000-0008-0000-0700-00002B000000}"/>
            </a:ext>
          </a:extLst>
        </xdr:cNvPr>
        <xdr:cNvCxnSpPr/>
      </xdr:nvCxnSpPr>
      <xdr:spPr>
        <a:xfrm flipH="1">
          <a:off x="795130" y="7241840"/>
          <a:ext cx="2136677" cy="168657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43544</xdr:colOff>
      <xdr:row>34</xdr:row>
      <xdr:rowOff>32656</xdr:rowOff>
    </xdr:from>
    <xdr:to>
      <xdr:col>13</xdr:col>
      <xdr:colOff>48986</xdr:colOff>
      <xdr:row>35</xdr:row>
      <xdr:rowOff>70756</xdr:rowOff>
    </xdr:to>
    <xdr:sp macro="" textlink="">
      <xdr:nvSpPr>
        <xdr:cNvPr id="46" name="TextBox 45">
          <a:extLst>
            <a:ext uri="{FF2B5EF4-FFF2-40B4-BE49-F238E27FC236}">
              <a16:creationId xmlns:a16="http://schemas.microsoft.com/office/drawing/2014/main" id="{00000000-0008-0000-0700-00002E000000}"/>
            </a:ext>
          </a:extLst>
        </xdr:cNvPr>
        <xdr:cNvSpPr txBox="1"/>
      </xdr:nvSpPr>
      <xdr:spPr>
        <a:xfrm>
          <a:off x="2693979" y="446786"/>
          <a:ext cx="535529" cy="24516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a:t>
          </a:r>
          <a:endParaRPr lang="ko-KR" altLang="en-US" sz="1100"/>
        </a:p>
      </xdr:txBody>
    </xdr:sp>
    <xdr:clientData/>
  </xdr:twoCellAnchor>
  <xdr:twoCellAnchor>
    <xdr:from>
      <xdr:col>2</xdr:col>
      <xdr:colOff>33130</xdr:colOff>
      <xdr:row>32</xdr:row>
      <xdr:rowOff>127079</xdr:rowOff>
    </xdr:from>
    <xdr:to>
      <xdr:col>10</xdr:col>
      <xdr:colOff>49459</xdr:colOff>
      <xdr:row>40</xdr:row>
      <xdr:rowOff>148850</xdr:rowOff>
    </xdr:to>
    <xdr:cxnSp macro="">
      <xdr:nvCxnSpPr>
        <xdr:cNvPr id="49" name="직선 연결선 48">
          <a:extLst>
            <a:ext uri="{FF2B5EF4-FFF2-40B4-BE49-F238E27FC236}">
              <a16:creationId xmlns:a16="http://schemas.microsoft.com/office/drawing/2014/main" id="{00000000-0008-0000-0700-000031000000}"/>
            </a:ext>
          </a:extLst>
        </xdr:cNvPr>
        <xdr:cNvCxnSpPr/>
      </xdr:nvCxnSpPr>
      <xdr:spPr>
        <a:xfrm flipH="1">
          <a:off x="563217" y="6769731"/>
          <a:ext cx="2136677" cy="168657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9</xdr:col>
      <xdr:colOff>258892</xdr:colOff>
      <xdr:row>31</xdr:row>
      <xdr:rowOff>181743</xdr:rowOff>
    </xdr:from>
    <xdr:to>
      <xdr:col>14</xdr:col>
      <xdr:colOff>91108</xdr:colOff>
      <xdr:row>33</xdr:row>
      <xdr:rowOff>12778</xdr:rowOff>
    </xdr:to>
    <xdr:sp macro="" textlink="">
      <xdr:nvSpPr>
        <xdr:cNvPr id="50" name="TextBox 49">
          <a:extLst>
            <a:ext uri="{FF2B5EF4-FFF2-40B4-BE49-F238E27FC236}">
              <a16:creationId xmlns:a16="http://schemas.microsoft.com/office/drawing/2014/main" id="{00000000-0008-0000-0700-000032000000}"/>
            </a:ext>
          </a:extLst>
        </xdr:cNvPr>
        <xdr:cNvSpPr txBox="1"/>
      </xdr:nvSpPr>
      <xdr:spPr>
        <a:xfrm>
          <a:off x="2644283" y="6617330"/>
          <a:ext cx="1563282" cy="24516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 +3</a:t>
          </a:r>
          <a:endParaRPr lang="ko-KR" altLang="en-US" sz="1100"/>
        </a:p>
      </xdr:txBody>
    </xdr:sp>
    <xdr:clientData/>
  </xdr:twoCellAnchor>
  <xdr:twoCellAnchor>
    <xdr:from>
      <xdr:col>3</xdr:col>
      <xdr:colOff>24847</xdr:colOff>
      <xdr:row>37</xdr:row>
      <xdr:rowOff>185057</xdr:rowOff>
    </xdr:from>
    <xdr:to>
      <xdr:col>11</xdr:col>
      <xdr:colOff>41176</xdr:colOff>
      <xdr:row>45</xdr:row>
      <xdr:rowOff>206828</xdr:rowOff>
    </xdr:to>
    <xdr:cxnSp macro="">
      <xdr:nvCxnSpPr>
        <xdr:cNvPr id="51" name="직선 연결선 50">
          <a:extLst>
            <a:ext uri="{FF2B5EF4-FFF2-40B4-BE49-F238E27FC236}">
              <a16:creationId xmlns:a16="http://schemas.microsoft.com/office/drawing/2014/main" id="{00000000-0008-0000-0700-000033000000}"/>
            </a:ext>
          </a:extLst>
        </xdr:cNvPr>
        <xdr:cNvCxnSpPr/>
      </xdr:nvCxnSpPr>
      <xdr:spPr>
        <a:xfrm flipH="1">
          <a:off x="819977" y="7863035"/>
          <a:ext cx="2136677" cy="168657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68392</xdr:colOff>
      <xdr:row>37</xdr:row>
      <xdr:rowOff>40939</xdr:rowOff>
    </xdr:from>
    <xdr:to>
      <xdr:col>14</xdr:col>
      <xdr:colOff>430695</xdr:colOff>
      <xdr:row>38</xdr:row>
      <xdr:rowOff>79039</xdr:rowOff>
    </xdr:to>
    <xdr:sp macro="" textlink="">
      <xdr:nvSpPr>
        <xdr:cNvPr id="52" name="TextBox 51">
          <a:extLst>
            <a:ext uri="{FF2B5EF4-FFF2-40B4-BE49-F238E27FC236}">
              <a16:creationId xmlns:a16="http://schemas.microsoft.com/office/drawing/2014/main" id="{00000000-0008-0000-0700-000034000000}"/>
            </a:ext>
          </a:extLst>
        </xdr:cNvPr>
        <xdr:cNvSpPr txBox="1"/>
      </xdr:nvSpPr>
      <xdr:spPr>
        <a:xfrm>
          <a:off x="2983870" y="7718917"/>
          <a:ext cx="1563282" cy="24516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 -3</a:t>
          </a:r>
          <a:endParaRPr lang="ko-KR" altLang="en-US" sz="1100"/>
        </a:p>
      </xdr:txBody>
    </xdr:sp>
    <xdr:clientData/>
  </xdr:twoCellAnchor>
  <xdr:oneCellAnchor>
    <xdr:from>
      <xdr:col>0</xdr:col>
      <xdr:colOff>193128</xdr:colOff>
      <xdr:row>49</xdr:row>
      <xdr:rowOff>111015</xdr:rowOff>
    </xdr:from>
    <xdr:ext cx="508985" cy="281103"/>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0700-000005000000}"/>
                </a:ext>
              </a:extLst>
            </xdr:cNvPr>
            <xdr:cNvSpPr txBox="1"/>
          </xdr:nvSpPr>
          <xdr:spPr>
            <a:xfrm>
              <a:off x="193128" y="10430860"/>
              <a:ext cx="508985"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b="0" i="1">
                        <a:latin typeface="Cambria Math" panose="02040503050406030204" pitchFamily="18" charset="0"/>
                      </a:rPr>
                      <m:t>𝜇</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eqArr>
                          <m:eqArrPr>
                            <m:ctrlPr>
                              <a:rPr lang="en-US" altLang="ko-KR" sz="1100" i="1">
                                <a:latin typeface="Cambria Math" panose="02040503050406030204" pitchFamily="18" charset="0"/>
                              </a:rPr>
                            </m:ctrlPr>
                          </m:eqArrPr>
                          <m:e>
                            <m:r>
                              <a:rPr lang="en-US" altLang="ko-KR" sz="1100" b="0" i="1">
                                <a:latin typeface="Cambria Math" panose="02040503050406030204" pitchFamily="18" charset="0"/>
                              </a:rPr>
                              <m:t>1</m:t>
                            </m:r>
                          </m:e>
                          <m:e>
                            <m:r>
                              <a:rPr lang="en-US" altLang="ko-KR" b="0" i="1">
                                <a:latin typeface="Cambria Math" panose="02040503050406030204" pitchFamily="18" charset="0"/>
                              </a:rPr>
                              <m:t>2</m:t>
                            </m:r>
                          </m:e>
                        </m:eqArr>
                      </m:e>
                    </m:d>
                  </m:oMath>
                </m:oMathPara>
              </a14:m>
              <a:endParaRPr lang="ko-KR" altLang="en-US" sz="1100"/>
            </a:p>
          </xdr:txBody>
        </xdr:sp>
      </mc:Choice>
      <mc:Fallback xmlns="">
        <xdr:sp macro="" textlink="">
          <xdr:nvSpPr>
            <xdr:cNvPr id="5" name="TextBox 4"/>
            <xdr:cNvSpPr txBox="1"/>
          </xdr:nvSpPr>
          <xdr:spPr>
            <a:xfrm>
              <a:off x="193128" y="10430860"/>
              <a:ext cx="508985"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b="0" i="0">
                  <a:latin typeface="Cambria Math" panose="02040503050406030204" pitchFamily="18" charset="0"/>
                </a:rPr>
                <a:t>𝜇</a:t>
              </a:r>
              <a:r>
                <a:rPr lang="en-US" altLang="ko-KR" sz="1100" b="0" i="0">
                  <a:latin typeface="Cambria Math" panose="02040503050406030204" pitchFamily="18" charset="0"/>
                </a:rPr>
                <a:t>= </a:t>
              </a:r>
              <a:r>
                <a:rPr lang="en-US" altLang="ko-KR" sz="1100" i="0">
                  <a:latin typeface="Cambria Math" panose="02040503050406030204" pitchFamily="18" charset="0"/>
                </a:rPr>
                <a:t>[█(</a:t>
              </a:r>
              <a:r>
                <a:rPr lang="en-US" altLang="ko-KR" sz="1100" b="0" i="0">
                  <a:latin typeface="Cambria Math" panose="02040503050406030204" pitchFamily="18" charset="0"/>
                </a:rPr>
                <a:t>1</a:t>
              </a:r>
              <a:r>
                <a:rPr lang="ko-KR" altLang="en-US" sz="1100" b="0" i="0">
                  <a:latin typeface="Cambria Math" panose="02040503050406030204" pitchFamily="18" charset="0"/>
                </a:rPr>
                <a:t>@</a:t>
              </a:r>
              <a:r>
                <a:rPr lang="en-US" altLang="ko-KR" b="0" i="0">
                  <a:latin typeface="Cambria Math" panose="02040503050406030204" pitchFamily="18" charset="0"/>
                </a:rPr>
                <a:t>2</a:t>
              </a:r>
              <a:r>
                <a:rPr lang="ko-KR" altLang="en-US" b="0" i="0">
                  <a:latin typeface="Cambria Math" panose="02040503050406030204" pitchFamily="18" charset="0"/>
                </a:rPr>
                <a:t>)</a:t>
              </a:r>
              <a:r>
                <a:rPr lang="en-US" altLang="ko-KR" sz="1100" b="0" i="0">
                  <a:latin typeface="Cambria Math" panose="02040503050406030204" pitchFamily="18" charset="0"/>
                </a:rPr>
                <a:t>]</a:t>
              </a:r>
              <a:endParaRPr lang="ko-KR" altLang="en-US" sz="1100"/>
            </a:p>
          </xdr:txBody>
        </xdr:sp>
      </mc:Fallback>
    </mc:AlternateContent>
    <xdr:clientData/>
  </xdr:oneCellAnchor>
  <xdr:twoCellAnchor>
    <xdr:from>
      <xdr:col>7</xdr:col>
      <xdr:colOff>6569</xdr:colOff>
      <xdr:row>52</xdr:row>
      <xdr:rowOff>210206</xdr:rowOff>
    </xdr:from>
    <xdr:to>
      <xdr:col>7</xdr:col>
      <xdr:colOff>249621</xdr:colOff>
      <xdr:row>54</xdr:row>
      <xdr:rowOff>197069</xdr:rowOff>
    </xdr:to>
    <xdr:cxnSp macro="">
      <xdr:nvCxnSpPr>
        <xdr:cNvPr id="7" name="직선 화살표 연결선 6">
          <a:extLst>
            <a:ext uri="{FF2B5EF4-FFF2-40B4-BE49-F238E27FC236}">
              <a16:creationId xmlns:a16="http://schemas.microsoft.com/office/drawing/2014/main" id="{00000000-0008-0000-0700-000007000000}"/>
            </a:ext>
          </a:extLst>
        </xdr:cNvPr>
        <xdr:cNvCxnSpPr/>
      </xdr:nvCxnSpPr>
      <xdr:spPr>
        <a:xfrm flipV="1">
          <a:off x="1891862" y="11160672"/>
          <a:ext cx="243052" cy="4072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74887</xdr:colOff>
      <xdr:row>52</xdr:row>
      <xdr:rowOff>38756</xdr:rowOff>
    </xdr:from>
    <xdr:ext cx="112980"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00000000-0008-0000-0700-00001C000000}"/>
                </a:ext>
              </a:extLst>
            </xdr:cNvPr>
            <xdr:cNvSpPr txBox="1"/>
          </xdr:nvSpPr>
          <xdr:spPr>
            <a:xfrm>
              <a:off x="2229508" y="10989222"/>
              <a:ext cx="112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b="0" i="1">
                        <a:latin typeface="Cambria Math" panose="02040503050406030204" pitchFamily="18" charset="0"/>
                      </a:rPr>
                      <m:t>𝜇</m:t>
                    </m:r>
                  </m:oMath>
                </m:oMathPara>
              </a14:m>
              <a:endParaRPr lang="ko-KR" altLang="en-US" sz="1100"/>
            </a:p>
          </xdr:txBody>
        </xdr:sp>
      </mc:Choice>
      <mc:Fallback xmlns="">
        <xdr:sp macro="" textlink="">
          <xdr:nvSpPr>
            <xdr:cNvPr id="28" name="TextBox 27"/>
            <xdr:cNvSpPr txBox="1"/>
          </xdr:nvSpPr>
          <xdr:spPr>
            <a:xfrm>
              <a:off x="2229508" y="10989222"/>
              <a:ext cx="112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b="0" i="0">
                  <a:latin typeface="Cambria Math" panose="02040503050406030204" pitchFamily="18" charset="0"/>
                </a:rPr>
                <a:t>𝜇</a:t>
              </a:r>
              <a:endParaRPr lang="ko-KR" altLang="en-US" sz="1100"/>
            </a:p>
          </xdr:txBody>
        </xdr:sp>
      </mc:Fallback>
    </mc:AlternateContent>
    <xdr:clientData/>
  </xdr:oneCellAnchor>
  <xdr:twoCellAnchor>
    <xdr:from>
      <xdr:col>6</xdr:col>
      <xdr:colOff>256190</xdr:colOff>
      <xdr:row>55</xdr:row>
      <xdr:rowOff>1</xdr:rowOff>
    </xdr:from>
    <xdr:to>
      <xdr:col>7</xdr:col>
      <xdr:colOff>262759</xdr:colOff>
      <xdr:row>58</xdr:row>
      <xdr:rowOff>45983</xdr:rowOff>
    </xdr:to>
    <xdr:cxnSp macro="">
      <xdr:nvCxnSpPr>
        <xdr:cNvPr id="29" name="직선 화살표 연결선 28">
          <a:extLst>
            <a:ext uri="{FF2B5EF4-FFF2-40B4-BE49-F238E27FC236}">
              <a16:creationId xmlns:a16="http://schemas.microsoft.com/office/drawing/2014/main" id="{00000000-0008-0000-0700-00001D000000}"/>
            </a:ext>
          </a:extLst>
        </xdr:cNvPr>
        <xdr:cNvCxnSpPr/>
      </xdr:nvCxnSpPr>
      <xdr:spPr>
        <a:xfrm>
          <a:off x="1872156" y="11587656"/>
          <a:ext cx="275896" cy="6766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239111</xdr:colOff>
      <xdr:row>58</xdr:row>
      <xdr:rowOff>71602</xdr:rowOff>
    </xdr:from>
    <xdr:ext cx="107722"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0700-00000D000000}"/>
                </a:ext>
              </a:extLst>
            </xdr:cNvPr>
            <xdr:cNvSpPr txBox="1"/>
          </xdr:nvSpPr>
          <xdr:spPr>
            <a:xfrm>
              <a:off x="2124404" y="12289878"/>
              <a:ext cx="1077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𝜈</m:t>
                    </m:r>
                  </m:oMath>
                </m:oMathPara>
              </a14:m>
              <a:endParaRPr lang="ko-KR" altLang="en-US" sz="1100"/>
            </a:p>
          </xdr:txBody>
        </xdr:sp>
      </mc:Choice>
      <mc:Fallback xmlns="">
        <xdr:sp macro="" textlink="">
          <xdr:nvSpPr>
            <xdr:cNvPr id="13" name="TextBox 12"/>
            <xdr:cNvSpPr txBox="1"/>
          </xdr:nvSpPr>
          <xdr:spPr>
            <a:xfrm>
              <a:off x="2124404" y="12289878"/>
              <a:ext cx="1077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𝜈</a:t>
              </a:r>
              <a:endParaRPr lang="ko-KR" altLang="en-US" sz="1100"/>
            </a:p>
          </xdr:txBody>
        </xdr:sp>
      </mc:Fallback>
    </mc:AlternateContent>
    <xdr:clientData/>
  </xdr:oneCellAnchor>
  <xdr:twoCellAnchor>
    <xdr:from>
      <xdr:col>6</xdr:col>
      <xdr:colOff>26275</xdr:colOff>
      <xdr:row>54</xdr:row>
      <xdr:rowOff>216775</xdr:rowOff>
    </xdr:from>
    <xdr:to>
      <xdr:col>6</xdr:col>
      <xdr:colOff>256191</xdr:colOff>
      <xdr:row>56</xdr:row>
      <xdr:rowOff>183931</xdr:rowOff>
    </xdr:to>
    <xdr:cxnSp macro="">
      <xdr:nvCxnSpPr>
        <xdr:cNvPr id="34" name="직선 화살표 연결선 33">
          <a:extLst>
            <a:ext uri="{FF2B5EF4-FFF2-40B4-BE49-F238E27FC236}">
              <a16:creationId xmlns:a16="http://schemas.microsoft.com/office/drawing/2014/main" id="{00000000-0008-0000-0700-000022000000}"/>
            </a:ext>
          </a:extLst>
        </xdr:cNvPr>
        <xdr:cNvCxnSpPr/>
      </xdr:nvCxnSpPr>
      <xdr:spPr>
        <a:xfrm flipH="1">
          <a:off x="1642241" y="11587654"/>
          <a:ext cx="229916" cy="3941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81455</xdr:colOff>
      <xdr:row>57</xdr:row>
      <xdr:rowOff>38757</xdr:rowOff>
    </xdr:from>
    <xdr:ext cx="137282"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0700-00001E000000}"/>
                </a:ext>
              </a:extLst>
            </xdr:cNvPr>
            <xdr:cNvSpPr txBox="1"/>
          </xdr:nvSpPr>
          <xdr:spPr>
            <a:xfrm>
              <a:off x="1428093" y="12046826"/>
              <a:ext cx="1372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𝜔</m:t>
                    </m:r>
                  </m:oMath>
                </m:oMathPara>
              </a14:m>
              <a:endParaRPr lang="ko-KR" altLang="en-US" sz="1100"/>
            </a:p>
          </xdr:txBody>
        </xdr:sp>
      </mc:Choice>
      <mc:Fallback xmlns="">
        <xdr:sp macro="" textlink="">
          <xdr:nvSpPr>
            <xdr:cNvPr id="30" name="TextBox 29"/>
            <xdr:cNvSpPr txBox="1"/>
          </xdr:nvSpPr>
          <xdr:spPr>
            <a:xfrm>
              <a:off x="1428093" y="12046826"/>
              <a:ext cx="1372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𝜔</a:t>
              </a:r>
              <a:endParaRPr lang="ko-KR" altLang="en-US" sz="1100"/>
            </a:p>
          </xdr:txBody>
        </xdr:sp>
      </mc:Fallback>
    </mc:AlternateContent>
    <xdr:clientData/>
  </xdr:oneCellAnchor>
  <xdr:oneCellAnchor>
    <xdr:from>
      <xdr:col>0</xdr:col>
      <xdr:colOff>160283</xdr:colOff>
      <xdr:row>51</xdr:row>
      <xdr:rowOff>32188</xdr:rowOff>
    </xdr:from>
    <xdr:ext cx="595148" cy="281103"/>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00000000-0008-0000-0700-000026000000}"/>
                </a:ext>
              </a:extLst>
            </xdr:cNvPr>
            <xdr:cNvSpPr txBox="1"/>
          </xdr:nvSpPr>
          <xdr:spPr>
            <a:xfrm>
              <a:off x="160283" y="10772447"/>
              <a:ext cx="5951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ko-KR" altLang="ko-KR" sz="1100" i="1">
                        <a:solidFill>
                          <a:schemeClr val="tx1"/>
                        </a:solidFill>
                        <a:effectLst/>
                        <a:latin typeface="Cambria Math" panose="02040503050406030204" pitchFamily="18" charset="0"/>
                        <a:ea typeface="+mn-ea"/>
                        <a:cs typeface="+mn-cs"/>
                      </a:rPr>
                      <m:t>𝜈</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eqArr>
                          <m:eqArrPr>
                            <m:ctrlPr>
                              <a:rPr lang="en-US" altLang="ko-KR" sz="1100" i="1">
                                <a:latin typeface="Cambria Math" panose="02040503050406030204" pitchFamily="18" charset="0"/>
                              </a:rPr>
                            </m:ctrlPr>
                          </m:eqArrPr>
                          <m:e>
                            <m:r>
                              <a:rPr lang="en-US" altLang="ko-KR" sz="1100" b="0" i="1">
                                <a:latin typeface="Cambria Math" panose="02040503050406030204" pitchFamily="18" charset="0"/>
                              </a:rPr>
                              <m:t>1</m:t>
                            </m:r>
                          </m:e>
                          <m:e>
                            <m:r>
                              <a:rPr lang="en-US" altLang="ko-KR" b="0" i="1">
                                <a:latin typeface="Cambria Math" panose="02040503050406030204" pitchFamily="18" charset="0"/>
                              </a:rPr>
                              <m:t>−3</m:t>
                            </m:r>
                          </m:e>
                        </m:eqArr>
                      </m:e>
                    </m:d>
                  </m:oMath>
                </m:oMathPara>
              </a14:m>
              <a:endParaRPr lang="ko-KR" altLang="en-US" sz="1100"/>
            </a:p>
          </xdr:txBody>
        </xdr:sp>
      </mc:Choice>
      <mc:Fallback xmlns="">
        <xdr:sp macro="" textlink="">
          <xdr:nvSpPr>
            <xdr:cNvPr id="38" name="TextBox 37"/>
            <xdr:cNvSpPr txBox="1"/>
          </xdr:nvSpPr>
          <xdr:spPr>
            <a:xfrm>
              <a:off x="160283" y="10772447"/>
              <a:ext cx="5951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ko-KR" altLang="ko-KR" sz="1100" i="0">
                  <a:solidFill>
                    <a:schemeClr val="tx1"/>
                  </a:solidFill>
                  <a:effectLst/>
                  <a:latin typeface="+mn-lt"/>
                  <a:ea typeface="+mn-ea"/>
                  <a:cs typeface="+mn-cs"/>
                </a:rPr>
                <a:t>𝜈</a:t>
              </a:r>
              <a:r>
                <a:rPr lang="en-US" altLang="ko-KR" sz="1100" b="0" i="0">
                  <a:latin typeface="Cambria Math" panose="02040503050406030204" pitchFamily="18" charset="0"/>
                </a:rPr>
                <a:t>= </a:t>
              </a:r>
              <a:r>
                <a:rPr lang="en-US" altLang="ko-KR" sz="1100" i="0">
                  <a:latin typeface="Cambria Math" panose="02040503050406030204" pitchFamily="18" charset="0"/>
                </a:rPr>
                <a:t>[█(</a:t>
              </a:r>
              <a:r>
                <a:rPr lang="en-US" altLang="ko-KR" sz="1100" b="0" i="0">
                  <a:latin typeface="Cambria Math" panose="02040503050406030204" pitchFamily="18" charset="0"/>
                </a:rPr>
                <a:t>1</a:t>
              </a:r>
              <a:r>
                <a:rPr lang="ko-KR" altLang="en-US" sz="1100" b="0" i="0">
                  <a:latin typeface="Cambria Math" panose="02040503050406030204" pitchFamily="18" charset="0"/>
                </a:rPr>
                <a:t>@</a:t>
              </a:r>
              <a:r>
                <a:rPr lang="en-US" altLang="ko-KR" b="0" i="0">
                  <a:latin typeface="Cambria Math" panose="02040503050406030204" pitchFamily="18" charset="0"/>
                </a:rPr>
                <a:t>−3</a:t>
              </a:r>
              <a:r>
                <a:rPr lang="ko-KR" altLang="en-US" b="0" i="0">
                  <a:latin typeface="Cambria Math" panose="02040503050406030204" pitchFamily="18" charset="0"/>
                </a:rPr>
                <a:t>)</a:t>
              </a:r>
              <a:r>
                <a:rPr lang="en-US" altLang="ko-KR" sz="1100" b="0" i="0">
                  <a:latin typeface="Cambria Math" panose="02040503050406030204" pitchFamily="18" charset="0"/>
                </a:rPr>
                <a:t>]</a:t>
              </a:r>
              <a:endParaRPr lang="ko-KR" altLang="en-US" sz="1100"/>
            </a:p>
          </xdr:txBody>
        </xdr:sp>
      </mc:Fallback>
    </mc:AlternateContent>
    <xdr:clientData/>
  </xdr:oneCellAnchor>
  <xdr:oneCellAnchor>
    <xdr:from>
      <xdr:col>0</xdr:col>
      <xdr:colOff>42042</xdr:colOff>
      <xdr:row>52</xdr:row>
      <xdr:rowOff>202980</xdr:rowOff>
    </xdr:from>
    <xdr:ext cx="785648" cy="281103"/>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0000000-0008-0000-0700-000027000000}"/>
                </a:ext>
              </a:extLst>
            </xdr:cNvPr>
            <xdr:cNvSpPr txBox="1"/>
          </xdr:nvSpPr>
          <xdr:spPr>
            <a:xfrm>
              <a:off x="42042" y="11153446"/>
              <a:ext cx="7856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ko-KR" altLang="ko-KR" sz="1100" i="1">
                        <a:solidFill>
                          <a:schemeClr val="tx1"/>
                        </a:solidFill>
                        <a:effectLst/>
                        <a:latin typeface="Cambria Math" panose="02040503050406030204" pitchFamily="18" charset="0"/>
                        <a:ea typeface="+mn-ea"/>
                        <a:cs typeface="+mn-cs"/>
                      </a:rPr>
                      <m:t>𝜔</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eqArr>
                          <m:eqArrPr>
                            <m:ctrlPr>
                              <a:rPr lang="en-US" altLang="ko-KR" sz="1100" i="1">
                                <a:latin typeface="Cambria Math" panose="02040503050406030204" pitchFamily="18" charset="0"/>
                              </a:rPr>
                            </m:ctrlPr>
                          </m:eqArrPr>
                          <m:e>
                            <m:r>
                              <a:rPr lang="en-US" altLang="ko-KR" sz="1100" b="0" i="1">
                                <a:latin typeface="Cambria Math" panose="02040503050406030204" pitchFamily="18" charset="0"/>
                              </a:rPr>
                              <m:t>−1</m:t>
                            </m:r>
                          </m:e>
                          <m:e>
                            <m:r>
                              <a:rPr lang="en-US" altLang="ko-KR" b="0" i="1">
                                <a:latin typeface="Cambria Math" panose="02040503050406030204" pitchFamily="18" charset="0"/>
                              </a:rPr>
                              <m:t>−2</m:t>
                            </m:r>
                          </m:e>
                        </m:eqArr>
                      </m:e>
                    </m:d>
                  </m:oMath>
                </m:oMathPara>
              </a14:m>
              <a:endParaRPr lang="ko-KR" altLang="en-US" sz="1100"/>
            </a:p>
          </xdr:txBody>
        </xdr:sp>
      </mc:Choice>
      <mc:Fallback xmlns="">
        <xdr:sp macro="" textlink="">
          <xdr:nvSpPr>
            <xdr:cNvPr id="39" name="TextBox 38"/>
            <xdr:cNvSpPr txBox="1"/>
          </xdr:nvSpPr>
          <xdr:spPr>
            <a:xfrm>
              <a:off x="42042" y="11153446"/>
              <a:ext cx="7856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ko-KR" altLang="ko-KR" sz="1100" i="0">
                  <a:solidFill>
                    <a:schemeClr val="tx1"/>
                  </a:solidFill>
                  <a:effectLst/>
                  <a:latin typeface="+mn-lt"/>
                  <a:ea typeface="+mn-ea"/>
                  <a:cs typeface="+mn-cs"/>
                </a:rPr>
                <a:t>𝜔</a:t>
              </a:r>
              <a:r>
                <a:rPr lang="en-US" altLang="ko-KR" sz="1100" b="0" i="0">
                  <a:latin typeface="Cambria Math" panose="02040503050406030204" pitchFamily="18" charset="0"/>
                </a:rPr>
                <a:t>= </a:t>
              </a:r>
              <a:r>
                <a:rPr lang="en-US" altLang="ko-KR" sz="1100" i="0">
                  <a:latin typeface="Cambria Math" panose="02040503050406030204" pitchFamily="18" charset="0"/>
                </a:rPr>
                <a:t>[█(</a:t>
              </a:r>
              <a:r>
                <a:rPr lang="en-US" altLang="ko-KR" sz="1100" b="0" i="0">
                  <a:latin typeface="Cambria Math" panose="02040503050406030204" pitchFamily="18" charset="0"/>
                </a:rPr>
                <a:t>−1</a:t>
              </a:r>
              <a:r>
                <a:rPr lang="ko-KR" altLang="en-US" sz="1100" b="0" i="0">
                  <a:latin typeface="Cambria Math" panose="02040503050406030204" pitchFamily="18" charset="0"/>
                </a:rPr>
                <a:t>@</a:t>
              </a:r>
              <a:r>
                <a:rPr lang="en-US" altLang="ko-KR" b="0" i="0">
                  <a:latin typeface="Cambria Math" panose="02040503050406030204" pitchFamily="18" charset="0"/>
                </a:rPr>
                <a:t>−2</a:t>
              </a:r>
              <a:r>
                <a:rPr lang="ko-KR" altLang="en-US" b="0" i="0">
                  <a:latin typeface="Cambria Math" panose="02040503050406030204" pitchFamily="18" charset="0"/>
                </a:rPr>
                <a:t>)</a:t>
              </a:r>
              <a:r>
                <a:rPr lang="en-US" altLang="ko-KR" sz="1100" b="0" i="0">
                  <a:latin typeface="Cambria Math" panose="02040503050406030204" pitchFamily="18" charset="0"/>
                </a:rPr>
                <a:t>]</a:t>
              </a:r>
              <a:endParaRPr lang="ko-KR" altLang="en-US" sz="1100"/>
            </a:p>
          </xdr:txBody>
        </xdr:sp>
      </mc:Fallback>
    </mc:AlternateContent>
    <xdr:clientData/>
  </xdr:oneCellAnchor>
  <xdr:twoCellAnchor editAs="oneCell">
    <xdr:from>
      <xdr:col>14</xdr:col>
      <xdr:colOff>0</xdr:colOff>
      <xdr:row>49</xdr:row>
      <xdr:rowOff>0</xdr:rowOff>
    </xdr:from>
    <xdr:to>
      <xdr:col>22</xdr:col>
      <xdr:colOff>53190</xdr:colOff>
      <xdr:row>65</xdr:row>
      <xdr:rowOff>59600</xdr:rowOff>
    </xdr:to>
    <xdr:pic>
      <xdr:nvPicPr>
        <xdr:cNvPr id="32" name="그림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1"/>
        <a:stretch>
          <a:fillRect/>
        </a:stretch>
      </xdr:blipFill>
      <xdr:spPr>
        <a:xfrm>
          <a:off x="4164724" y="10319845"/>
          <a:ext cx="4572638" cy="3429479"/>
        </a:xfrm>
        <a:prstGeom prst="rect">
          <a:avLst/>
        </a:prstGeom>
      </xdr:spPr>
    </xdr:pic>
    <xdr:clientData/>
  </xdr:twoCellAnchor>
  <xdr:twoCellAnchor editAs="oneCell">
    <xdr:from>
      <xdr:col>13</xdr:col>
      <xdr:colOff>203638</xdr:colOff>
      <xdr:row>69</xdr:row>
      <xdr:rowOff>98535</xdr:rowOff>
    </xdr:from>
    <xdr:to>
      <xdr:col>21</xdr:col>
      <xdr:colOff>256828</xdr:colOff>
      <xdr:row>85</xdr:row>
      <xdr:rowOff>164704</xdr:rowOff>
    </xdr:to>
    <xdr:pic>
      <xdr:nvPicPr>
        <xdr:cNvPr id="33" name="그림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2"/>
        <a:stretch>
          <a:fillRect/>
        </a:stretch>
      </xdr:blipFill>
      <xdr:spPr>
        <a:xfrm>
          <a:off x="3685190" y="14629087"/>
          <a:ext cx="4572638" cy="3429479"/>
        </a:xfrm>
        <a:prstGeom prst="rect">
          <a:avLst/>
        </a:prstGeom>
      </xdr:spPr>
    </xdr:pic>
    <xdr:clientData/>
  </xdr:twoCellAnchor>
  <xdr:oneCellAnchor>
    <xdr:from>
      <xdr:col>3</xdr:col>
      <xdr:colOff>252248</xdr:colOff>
      <xdr:row>71</xdr:row>
      <xdr:rowOff>117584</xdr:rowOff>
    </xdr:from>
    <xdr:ext cx="994631" cy="43903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00000000-0008-0000-0700-000023000000}"/>
                </a:ext>
              </a:extLst>
            </xdr:cNvPr>
            <xdr:cNvSpPr txBox="1"/>
          </xdr:nvSpPr>
          <xdr:spPr>
            <a:xfrm>
              <a:off x="1060231" y="15068550"/>
              <a:ext cx="994631" cy="4390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en-US" altLang="ko-KR" sz="1100" b="0" i="0">
                        <a:latin typeface="Cambria Math" panose="02040503050406030204" pitchFamily="18" charset="0"/>
                      </a:rPr>
                      <m:t>A</m:t>
                    </m:r>
                    <m:r>
                      <a:rPr lang="en-US" altLang="ko-KR" sz="1100" b="0" i="0">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2"/>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e>
                              <m:m>
                                <m:mPr>
                                  <m:mcs>
                                    <m:mc>
                                      <m:mcPr>
                                        <m:count m:val="2"/>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2</m:t>
                                    </m:r>
                                  </m:e>
                                  <m:e>
                                    <m:r>
                                      <a:rPr lang="en-US" altLang="ko-KR" sz="1100" b="0" i="1">
                                        <a:latin typeface="Cambria Math" panose="02040503050406030204" pitchFamily="18" charset="0"/>
                                      </a:rPr>
                                      <m:t>3</m:t>
                                    </m:r>
                                  </m:e>
                                </m:mr>
                              </m:m>
                            </m:e>
                          </m:mr>
                          <m:m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4</m:t>
                                    </m:r>
                                  </m:e>
                                </m:mr>
                                <m:mr>
                                  <m:e>
                                    <m:r>
                                      <a:rPr lang="en-US" altLang="ko-KR" sz="1100" b="0" i="1">
                                        <a:latin typeface="Cambria Math" panose="02040503050406030204" pitchFamily="18" charset="0"/>
                                      </a:rPr>
                                      <m:t>7</m:t>
                                    </m:r>
                                  </m:e>
                                </m:mr>
                              </m:m>
                            </m:e>
                            <m:e>
                              <m:m>
                                <m:mPr>
                                  <m:mcs>
                                    <m:mc>
                                      <m:mcPr>
                                        <m:count m:val="2"/>
                                        <m:mcJc m:val="center"/>
                                      </m:mcPr>
                                    </m:mc>
                                  </m:mcs>
                                  <m:ctrlPr>
                                    <a:rPr lang="en-US" altLang="ko-KR" sz="1100" i="1">
                                      <a:latin typeface="Cambria Math" panose="02040503050406030204" pitchFamily="18" charset="0"/>
                                    </a:rPr>
                                  </m:ctrlPr>
                                </m:mPr>
                                <m:m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5</m:t>
                                          </m:r>
                                        </m:e>
                                      </m:mr>
                                      <m:mr>
                                        <m:e>
                                          <m:r>
                                            <a:rPr lang="en-US" altLang="ko-KR" sz="1100" b="0" i="1">
                                              <a:latin typeface="Cambria Math" panose="02040503050406030204" pitchFamily="18" charset="0"/>
                                            </a:rPr>
                                            <m:t>8</m:t>
                                          </m:r>
                                        </m:e>
                                      </m:mr>
                                    </m:m>
                                  </m:e>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6</m:t>
                                          </m:r>
                                        </m:e>
                                      </m:mr>
                                      <m:mr>
                                        <m:e>
                                          <m:r>
                                            <a:rPr lang="en-US" altLang="ko-KR" sz="1100" b="0" i="1">
                                              <a:latin typeface="Cambria Math" panose="02040503050406030204" pitchFamily="18" charset="0"/>
                                            </a:rPr>
                                            <m:t>9</m:t>
                                          </m:r>
                                        </m:e>
                                      </m:mr>
                                    </m:m>
                                  </m:e>
                                </m:mr>
                              </m:m>
                            </m:e>
                          </m:mr>
                        </m:m>
                        <m:r>
                          <a:rPr lang="en-US" altLang="ko-KR" sz="1100" b="0" i="1">
                            <a:latin typeface="Cambria Math" panose="02040503050406030204" pitchFamily="18" charset="0"/>
                          </a:rPr>
                          <m:t> </m:t>
                        </m:r>
                      </m:e>
                    </m:d>
                  </m:oMath>
                </m:oMathPara>
              </a14:m>
              <a:endParaRPr lang="ko-KR" altLang="en-US" sz="1100"/>
            </a:p>
          </xdr:txBody>
        </xdr:sp>
      </mc:Choice>
      <mc:Fallback xmlns="">
        <xdr:sp macro="" textlink="">
          <xdr:nvSpPr>
            <xdr:cNvPr id="35" name="TextBox 34"/>
            <xdr:cNvSpPr txBox="1"/>
          </xdr:nvSpPr>
          <xdr:spPr>
            <a:xfrm>
              <a:off x="1060231" y="15068550"/>
              <a:ext cx="994631" cy="4390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A= </a:t>
              </a:r>
              <a:r>
                <a:rPr lang="en-US" altLang="ko-KR" sz="1100" i="0">
                  <a:latin typeface="Cambria Math" panose="02040503050406030204" pitchFamily="18" charset="0"/>
                </a:rPr>
                <a:t>[■8(</a:t>
              </a:r>
              <a:r>
                <a:rPr lang="en-US" altLang="ko-KR" sz="1100" b="0" i="0">
                  <a:latin typeface="Cambria Math" panose="02040503050406030204" pitchFamily="18" charset="0"/>
                </a:rPr>
                <a:t>1&amp;■8(2&amp;3)@■8(4@7)&amp;■8(■8(5@8)&amp;■8(6@9))) ]</a:t>
              </a:r>
              <a:endParaRPr lang="ko-KR" altLang="en-US" sz="1100"/>
            </a:p>
          </xdr:txBody>
        </xdr:sp>
      </mc:Fallback>
    </mc:AlternateContent>
    <xdr:clientData/>
  </xdr:oneCellAnchor>
  <xdr:twoCellAnchor editAs="oneCell">
    <xdr:from>
      <xdr:col>20</xdr:col>
      <xdr:colOff>3658</xdr:colOff>
      <xdr:row>4</xdr:row>
      <xdr:rowOff>0</xdr:rowOff>
    </xdr:from>
    <xdr:to>
      <xdr:col>25</xdr:col>
      <xdr:colOff>297834</xdr:colOff>
      <xdr:row>28</xdr:row>
      <xdr:rowOff>163172</xdr:rowOff>
    </xdr:to>
    <xdr:pic>
      <xdr:nvPicPr>
        <xdr:cNvPr id="2" name="그림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3"/>
        <a:stretch>
          <a:fillRect/>
        </a:stretch>
      </xdr:blipFill>
      <xdr:spPr>
        <a:xfrm>
          <a:off x="7284071" y="828261"/>
          <a:ext cx="3731458" cy="5149302"/>
        </a:xfrm>
        <a:prstGeom prst="rect">
          <a:avLst/>
        </a:prstGeom>
      </xdr:spPr>
    </xdr:pic>
    <xdr:clientData/>
  </xdr:twoCellAnchor>
</xdr:wsDr>
</file>

<file path=xl/drawings/drawing60.xml><?xml version="1.0" encoding="utf-8"?>
<xdr:wsDr xmlns:xdr="http://schemas.openxmlformats.org/drawingml/2006/spreadsheetDrawing" xmlns:a="http://schemas.openxmlformats.org/drawingml/2006/main">
  <xdr:twoCellAnchor>
    <xdr:from>
      <xdr:col>10</xdr:col>
      <xdr:colOff>195943</xdr:colOff>
      <xdr:row>12</xdr:row>
      <xdr:rowOff>141515</xdr:rowOff>
    </xdr:from>
    <xdr:to>
      <xdr:col>10</xdr:col>
      <xdr:colOff>549729</xdr:colOff>
      <xdr:row>12</xdr:row>
      <xdr:rowOff>141515</xdr:rowOff>
    </xdr:to>
    <xdr:cxnSp macro="">
      <xdr:nvCxnSpPr>
        <xdr:cNvPr id="3" name="직선 화살표 연결선 2">
          <a:extLst>
            <a:ext uri="{FF2B5EF4-FFF2-40B4-BE49-F238E27FC236}">
              <a16:creationId xmlns:a16="http://schemas.microsoft.com/office/drawing/2014/main" id="{00000000-0008-0000-4700-000003000000}"/>
            </a:ext>
          </a:extLst>
        </xdr:cNvPr>
        <xdr:cNvCxnSpPr/>
      </xdr:nvCxnSpPr>
      <xdr:spPr>
        <a:xfrm>
          <a:off x="3396343" y="2264229"/>
          <a:ext cx="353786"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646043</xdr:colOff>
      <xdr:row>23</xdr:row>
      <xdr:rowOff>8282</xdr:rowOff>
    </xdr:from>
    <xdr:to>
      <xdr:col>23</xdr:col>
      <xdr:colOff>36664</xdr:colOff>
      <xdr:row>43</xdr:row>
      <xdr:rowOff>145582</xdr:rowOff>
    </xdr:to>
    <xdr:pic>
      <xdr:nvPicPr>
        <xdr:cNvPr id="4" name="그림 3">
          <a:extLst>
            <a:ext uri="{FF2B5EF4-FFF2-40B4-BE49-F238E27FC236}">
              <a16:creationId xmlns:a16="http://schemas.microsoft.com/office/drawing/2014/main" id="{00000000-0008-0000-4700-000004000000}"/>
            </a:ext>
          </a:extLst>
        </xdr:cNvPr>
        <xdr:cNvPicPr>
          <a:picLocks noChangeAspect="1"/>
        </xdr:cNvPicPr>
      </xdr:nvPicPr>
      <xdr:blipFill>
        <a:blip xmlns:r="http://schemas.openxmlformats.org/officeDocument/2006/relationships" r:embed="rId1"/>
        <a:stretch>
          <a:fillRect/>
        </a:stretch>
      </xdr:blipFill>
      <xdr:spPr>
        <a:xfrm>
          <a:off x="1333500" y="4795630"/>
          <a:ext cx="6124381" cy="4278604"/>
        </a:xfrm>
        <a:prstGeom prst="rect">
          <a:avLst/>
        </a:prstGeom>
      </xdr:spPr>
    </xdr:pic>
    <xdr:clientData/>
  </xdr:twoCellAnchor>
  <xdr:twoCellAnchor>
    <xdr:from>
      <xdr:col>4</xdr:col>
      <xdr:colOff>140804</xdr:colOff>
      <xdr:row>33</xdr:row>
      <xdr:rowOff>198783</xdr:rowOff>
    </xdr:from>
    <xdr:to>
      <xdr:col>7</xdr:col>
      <xdr:colOff>41413</xdr:colOff>
      <xdr:row>48</xdr:row>
      <xdr:rowOff>149087</xdr:rowOff>
    </xdr:to>
    <xdr:cxnSp macro="">
      <xdr:nvCxnSpPr>
        <xdr:cNvPr id="6" name="직선 화살표 연결선 5">
          <a:extLst>
            <a:ext uri="{FF2B5EF4-FFF2-40B4-BE49-F238E27FC236}">
              <a16:creationId xmlns:a16="http://schemas.microsoft.com/office/drawing/2014/main" id="{00000000-0008-0000-4700-000006000000}"/>
            </a:ext>
          </a:extLst>
        </xdr:cNvPr>
        <xdr:cNvCxnSpPr/>
      </xdr:nvCxnSpPr>
      <xdr:spPr>
        <a:xfrm flipH="1">
          <a:off x="1979543" y="7056783"/>
          <a:ext cx="596348" cy="30562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182217</xdr:colOff>
      <xdr:row>49</xdr:row>
      <xdr:rowOff>182218</xdr:rowOff>
    </xdr:from>
    <xdr:to>
      <xdr:col>17</xdr:col>
      <xdr:colOff>114107</xdr:colOff>
      <xdr:row>65</xdr:row>
      <xdr:rowOff>41442</xdr:rowOff>
    </xdr:to>
    <xdr:pic>
      <xdr:nvPicPr>
        <xdr:cNvPr id="7" name="그림 6">
          <a:extLst>
            <a:ext uri="{FF2B5EF4-FFF2-40B4-BE49-F238E27FC236}">
              <a16:creationId xmlns:a16="http://schemas.microsoft.com/office/drawing/2014/main" id="{00000000-0008-0000-4700-000007000000}"/>
            </a:ext>
          </a:extLst>
        </xdr:cNvPr>
        <xdr:cNvPicPr>
          <a:picLocks noChangeAspect="1"/>
        </xdr:cNvPicPr>
      </xdr:nvPicPr>
      <xdr:blipFill>
        <a:blip xmlns:r="http://schemas.openxmlformats.org/officeDocument/2006/relationships" r:embed="rId2"/>
        <a:stretch>
          <a:fillRect/>
        </a:stretch>
      </xdr:blipFill>
      <xdr:spPr>
        <a:xfrm>
          <a:off x="869674" y="10353261"/>
          <a:ext cx="4553585" cy="3172268"/>
        </a:xfrm>
        <a:prstGeom prst="rect">
          <a:avLst/>
        </a:prstGeom>
      </xdr:spPr>
    </xdr:pic>
    <xdr:clientData/>
  </xdr:twoCellAnchor>
</xdr:wsDr>
</file>

<file path=xl/drawings/drawing6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14</xdr:col>
      <xdr:colOff>201297</xdr:colOff>
      <xdr:row>29</xdr:row>
      <xdr:rowOff>38895</xdr:rowOff>
    </xdr:to>
    <xdr:pic>
      <xdr:nvPicPr>
        <xdr:cNvPr id="2" name="그림 1">
          <a:extLst>
            <a:ext uri="{FF2B5EF4-FFF2-40B4-BE49-F238E27FC236}">
              <a16:creationId xmlns:a16="http://schemas.microsoft.com/office/drawing/2014/main" id="{00000000-0008-0000-4800-000002000000}"/>
            </a:ext>
          </a:extLst>
        </xdr:cNvPr>
        <xdr:cNvPicPr>
          <a:picLocks noChangeAspect="1"/>
        </xdr:cNvPicPr>
      </xdr:nvPicPr>
      <xdr:blipFill>
        <a:blip xmlns:r="http://schemas.openxmlformats.org/officeDocument/2006/relationships" r:embed="rId1"/>
        <a:stretch>
          <a:fillRect/>
        </a:stretch>
      </xdr:blipFill>
      <xdr:spPr>
        <a:xfrm>
          <a:off x="685800" y="419100"/>
          <a:ext cx="9116697" cy="5696745"/>
        </a:xfrm>
        <a:prstGeom prst="rect">
          <a:avLst/>
        </a:prstGeom>
      </xdr:spPr>
    </xdr:pic>
    <xdr:clientData/>
  </xdr:twoCellAnchor>
</xdr:wsDr>
</file>

<file path=xl/drawings/drawing62.xml><?xml version="1.0" encoding="utf-8"?>
<xdr:wsDr xmlns:xdr="http://schemas.openxmlformats.org/drawingml/2006/spreadsheetDrawing" xmlns:a="http://schemas.openxmlformats.org/drawingml/2006/main">
  <xdr:oneCellAnchor>
    <xdr:from>
      <xdr:col>9</xdr:col>
      <xdr:colOff>166851</xdr:colOff>
      <xdr:row>3</xdr:row>
      <xdr:rowOff>19050</xdr:rowOff>
    </xdr:from>
    <xdr:ext cx="377732"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00000000-0008-0000-4900-000002000000}"/>
                </a:ext>
              </a:extLst>
            </xdr:cNvPr>
            <xdr:cNvSpPr txBox="1"/>
          </xdr:nvSpPr>
          <xdr:spPr>
            <a:xfrm>
              <a:off x="3414876" y="647700"/>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b="0" i="1">
                        <a:latin typeface="Cambria Math" panose="02040503050406030204" pitchFamily="18" charset="0"/>
                      </a:rPr>
                      <m:t>𝐴</m:t>
                    </m:r>
                    <m:r>
                      <a:rPr lang="ko-KR" altLang="en-US" sz="1100" i="1">
                        <a:latin typeface="Cambria Math" panose="02040503050406030204" pitchFamily="18" charset="0"/>
                      </a:rPr>
                      <m:t>∪</m:t>
                    </m:r>
                    <m:r>
                      <a:rPr lang="en-US" altLang="ko-KR" sz="1100" b="0" i="1">
                        <a:latin typeface="Cambria Math" panose="02040503050406030204" pitchFamily="18" charset="0"/>
                      </a:rPr>
                      <m:t>𝐵</m:t>
                    </m:r>
                  </m:oMath>
                </m:oMathPara>
              </a14:m>
              <a:endParaRPr lang="ko-KR" altLang="en-US" sz="1100"/>
            </a:p>
          </xdr:txBody>
        </xdr:sp>
      </mc:Choice>
      <mc:Fallback xmlns="">
        <xdr:sp macro="" textlink="">
          <xdr:nvSpPr>
            <xdr:cNvPr id="2" name="TextBox 1"/>
            <xdr:cNvSpPr txBox="1"/>
          </xdr:nvSpPr>
          <xdr:spPr>
            <a:xfrm>
              <a:off x="3414876" y="647700"/>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𝐴</a:t>
              </a:r>
              <a:r>
                <a:rPr lang="ko-KR" altLang="en-US" sz="1100" i="0">
                  <a:latin typeface="Cambria Math" panose="02040503050406030204" pitchFamily="18" charset="0"/>
                </a:rPr>
                <a:t>∪</a:t>
              </a:r>
              <a:r>
                <a:rPr lang="en-US" altLang="ko-KR" sz="1100" b="0" i="0">
                  <a:latin typeface="Cambria Math" panose="02040503050406030204" pitchFamily="18" charset="0"/>
                </a:rPr>
                <a:t>𝐵</a:t>
              </a:r>
              <a:endParaRPr lang="ko-KR" altLang="en-US" sz="1100"/>
            </a:p>
          </xdr:txBody>
        </xdr:sp>
      </mc:Fallback>
    </mc:AlternateContent>
    <xdr:clientData/>
  </xdr:oneCellAnchor>
  <xdr:oneCellAnchor>
    <xdr:from>
      <xdr:col>10</xdr:col>
      <xdr:colOff>22334</xdr:colOff>
      <xdr:row>11</xdr:row>
      <xdr:rowOff>12481</xdr:rowOff>
    </xdr:from>
    <xdr:ext cx="377732" cy="172227"/>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00000000-0008-0000-4900-000003000000}"/>
                </a:ext>
              </a:extLst>
            </xdr:cNvPr>
            <xdr:cNvSpPr txBox="1"/>
          </xdr:nvSpPr>
          <xdr:spPr>
            <a:xfrm>
              <a:off x="3489434" y="2384206"/>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b="0" i="1">
                        <a:latin typeface="Cambria Math" panose="02040503050406030204" pitchFamily="18" charset="0"/>
                      </a:rPr>
                      <m:t>𝐴</m:t>
                    </m:r>
                    <m:r>
                      <a:rPr lang="ko-KR" altLang="en-US" sz="1100" i="1">
                        <a:latin typeface="Cambria Math" panose="02040503050406030204" pitchFamily="18" charset="0"/>
                      </a:rPr>
                      <m:t>∩</m:t>
                    </m:r>
                    <m:r>
                      <a:rPr lang="en-US" altLang="ko-KR" sz="1100" b="0" i="1">
                        <a:latin typeface="Cambria Math" panose="02040503050406030204" pitchFamily="18" charset="0"/>
                      </a:rPr>
                      <m:t>𝐵</m:t>
                    </m:r>
                  </m:oMath>
                </m:oMathPara>
              </a14:m>
              <a:endParaRPr lang="ko-KR" altLang="en-US" sz="1100"/>
            </a:p>
          </xdr:txBody>
        </xdr:sp>
      </mc:Choice>
      <mc:Fallback xmlns="">
        <xdr:sp macro="" textlink="">
          <xdr:nvSpPr>
            <xdr:cNvPr id="3" name="TextBox 2"/>
            <xdr:cNvSpPr txBox="1"/>
          </xdr:nvSpPr>
          <xdr:spPr>
            <a:xfrm>
              <a:off x="3489434" y="2384206"/>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𝐴</a:t>
              </a:r>
              <a:r>
                <a:rPr lang="ko-KR" altLang="en-US" sz="1100" i="0">
                  <a:latin typeface="Cambria Math" panose="02040503050406030204" pitchFamily="18" charset="0"/>
                </a:rPr>
                <a:t>∩</a:t>
              </a:r>
              <a:r>
                <a:rPr lang="en-US" altLang="ko-KR" sz="1100" b="0" i="0">
                  <a:latin typeface="Cambria Math" panose="02040503050406030204" pitchFamily="18" charset="0"/>
                </a:rPr>
                <a:t>𝐵</a:t>
              </a:r>
              <a:endParaRPr lang="ko-KR" altLang="en-US" sz="1100"/>
            </a:p>
          </xdr:txBody>
        </xdr:sp>
      </mc:Fallback>
    </mc:AlternateContent>
    <xdr:clientData/>
  </xdr:oneCellAnchor>
</xdr:wsDr>
</file>

<file path=xl/drawings/drawing63.xml><?xml version="1.0" encoding="utf-8"?>
<xdr:wsDr xmlns:xdr="http://schemas.openxmlformats.org/drawingml/2006/spreadsheetDrawing" xmlns:a="http://schemas.openxmlformats.org/drawingml/2006/main">
  <xdr:twoCellAnchor editAs="oneCell">
    <xdr:from>
      <xdr:col>10</xdr:col>
      <xdr:colOff>352425</xdr:colOff>
      <xdr:row>23</xdr:row>
      <xdr:rowOff>133350</xdr:rowOff>
    </xdr:from>
    <xdr:to>
      <xdr:col>24</xdr:col>
      <xdr:colOff>257994</xdr:colOff>
      <xdr:row>29</xdr:row>
      <xdr:rowOff>200210</xdr:rowOff>
    </xdr:to>
    <xdr:pic>
      <xdr:nvPicPr>
        <xdr:cNvPr id="2" name="그림 1">
          <a:extLst>
            <a:ext uri="{FF2B5EF4-FFF2-40B4-BE49-F238E27FC236}">
              <a16:creationId xmlns:a16="http://schemas.microsoft.com/office/drawing/2014/main" id="{00000000-0008-0000-4A00-000002000000}"/>
            </a:ext>
          </a:extLst>
        </xdr:cNvPr>
        <xdr:cNvPicPr>
          <a:picLocks noChangeAspect="1"/>
        </xdr:cNvPicPr>
      </xdr:nvPicPr>
      <xdr:blipFill>
        <a:blip xmlns:r="http://schemas.openxmlformats.org/officeDocument/2006/relationships" r:embed="rId1"/>
        <a:stretch>
          <a:fillRect/>
        </a:stretch>
      </xdr:blipFill>
      <xdr:spPr>
        <a:xfrm>
          <a:off x="7210425" y="1514475"/>
          <a:ext cx="5868219" cy="1324160"/>
        </a:xfrm>
        <a:prstGeom prst="rect">
          <a:avLst/>
        </a:prstGeom>
      </xdr:spPr>
    </xdr:pic>
    <xdr:clientData/>
  </xdr:twoCellAnchor>
  <xdr:twoCellAnchor>
    <xdr:from>
      <xdr:col>8</xdr:col>
      <xdr:colOff>495300</xdr:colOff>
      <xdr:row>4</xdr:row>
      <xdr:rowOff>171450</xdr:rowOff>
    </xdr:from>
    <xdr:to>
      <xdr:col>11</xdr:col>
      <xdr:colOff>219075</xdr:colOff>
      <xdr:row>27</xdr:row>
      <xdr:rowOff>142875</xdr:rowOff>
    </xdr:to>
    <xdr:cxnSp macro="">
      <xdr:nvCxnSpPr>
        <xdr:cNvPr id="4" name="직선 화살표 연결선 3">
          <a:extLst>
            <a:ext uri="{FF2B5EF4-FFF2-40B4-BE49-F238E27FC236}">
              <a16:creationId xmlns:a16="http://schemas.microsoft.com/office/drawing/2014/main" id="{00000000-0008-0000-4A00-000004000000}"/>
            </a:ext>
          </a:extLst>
        </xdr:cNvPr>
        <xdr:cNvCxnSpPr/>
      </xdr:nvCxnSpPr>
      <xdr:spPr>
        <a:xfrm flipH="1" flipV="1">
          <a:off x="5981700" y="828675"/>
          <a:ext cx="1781175" cy="4914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416838</xdr:colOff>
      <xdr:row>0</xdr:row>
      <xdr:rowOff>19050</xdr:rowOff>
    </xdr:from>
    <xdr:to>
      <xdr:col>34</xdr:col>
      <xdr:colOff>18712</xdr:colOff>
      <xdr:row>13</xdr:row>
      <xdr:rowOff>123825</xdr:rowOff>
    </xdr:to>
    <xdr:pic>
      <xdr:nvPicPr>
        <xdr:cNvPr id="5" name="그림 4">
          <a:extLst>
            <a:ext uri="{FF2B5EF4-FFF2-40B4-BE49-F238E27FC236}">
              <a16:creationId xmlns:a16="http://schemas.microsoft.com/office/drawing/2014/main" id="{00000000-0008-0000-4A00-000005000000}"/>
            </a:ext>
          </a:extLst>
        </xdr:cNvPr>
        <xdr:cNvPicPr>
          <a:picLocks noChangeAspect="1"/>
        </xdr:cNvPicPr>
      </xdr:nvPicPr>
      <xdr:blipFill>
        <a:blip xmlns:r="http://schemas.openxmlformats.org/officeDocument/2006/relationships" r:embed="rId2"/>
        <a:stretch>
          <a:fillRect/>
        </a:stretch>
      </xdr:blipFill>
      <xdr:spPr>
        <a:xfrm>
          <a:off x="12761238" y="19050"/>
          <a:ext cx="4994290" cy="2990850"/>
        </a:xfrm>
        <a:prstGeom prst="rect">
          <a:avLst/>
        </a:prstGeom>
      </xdr:spPr>
    </xdr:pic>
    <xdr:clientData/>
  </xdr:twoCellAnchor>
  <xdr:twoCellAnchor>
    <xdr:from>
      <xdr:col>4</xdr:col>
      <xdr:colOff>114300</xdr:colOff>
      <xdr:row>53</xdr:row>
      <xdr:rowOff>104775</xdr:rowOff>
    </xdr:from>
    <xdr:to>
      <xdr:col>4</xdr:col>
      <xdr:colOff>581025</xdr:colOff>
      <xdr:row>54</xdr:row>
      <xdr:rowOff>133350</xdr:rowOff>
    </xdr:to>
    <xdr:sp macro="" textlink="">
      <xdr:nvSpPr>
        <xdr:cNvPr id="6" name="아래쪽 화살표 5">
          <a:extLst>
            <a:ext uri="{FF2B5EF4-FFF2-40B4-BE49-F238E27FC236}">
              <a16:creationId xmlns:a16="http://schemas.microsoft.com/office/drawing/2014/main" id="{00000000-0008-0000-4A00-000006000000}"/>
            </a:ext>
          </a:extLst>
        </xdr:cNvPr>
        <xdr:cNvSpPr/>
      </xdr:nvSpPr>
      <xdr:spPr>
        <a:xfrm>
          <a:off x="3000375" y="11496675"/>
          <a:ext cx="466725" cy="2381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123825</xdr:colOff>
      <xdr:row>63</xdr:row>
      <xdr:rowOff>9525</xdr:rowOff>
    </xdr:from>
    <xdr:to>
      <xdr:col>4</xdr:col>
      <xdr:colOff>590550</xdr:colOff>
      <xdr:row>64</xdr:row>
      <xdr:rowOff>38100</xdr:rowOff>
    </xdr:to>
    <xdr:sp macro="" textlink="">
      <xdr:nvSpPr>
        <xdr:cNvPr id="7" name="아래쪽 화살표 6">
          <a:extLst>
            <a:ext uri="{FF2B5EF4-FFF2-40B4-BE49-F238E27FC236}">
              <a16:creationId xmlns:a16="http://schemas.microsoft.com/office/drawing/2014/main" id="{00000000-0008-0000-4A00-000007000000}"/>
            </a:ext>
          </a:extLst>
        </xdr:cNvPr>
        <xdr:cNvSpPr/>
      </xdr:nvSpPr>
      <xdr:spPr>
        <a:xfrm>
          <a:off x="3009900" y="13496925"/>
          <a:ext cx="466725" cy="2381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xdr:col>
      <xdr:colOff>0</xdr:colOff>
      <xdr:row>72</xdr:row>
      <xdr:rowOff>0</xdr:rowOff>
    </xdr:from>
    <xdr:to>
      <xdr:col>12</xdr:col>
      <xdr:colOff>401179</xdr:colOff>
      <xdr:row>93</xdr:row>
      <xdr:rowOff>114930</xdr:rowOff>
    </xdr:to>
    <xdr:pic>
      <xdr:nvPicPr>
        <xdr:cNvPr id="8" name="그림 7">
          <a:extLst>
            <a:ext uri="{FF2B5EF4-FFF2-40B4-BE49-F238E27FC236}">
              <a16:creationId xmlns:a16="http://schemas.microsoft.com/office/drawing/2014/main" id="{00000000-0008-0000-4A00-000008000000}"/>
            </a:ext>
          </a:extLst>
        </xdr:cNvPr>
        <xdr:cNvPicPr>
          <a:picLocks noChangeAspect="1"/>
        </xdr:cNvPicPr>
      </xdr:nvPicPr>
      <xdr:blipFill>
        <a:blip xmlns:r="http://schemas.openxmlformats.org/officeDocument/2006/relationships" r:embed="rId3"/>
        <a:stretch>
          <a:fillRect/>
        </a:stretch>
      </xdr:blipFill>
      <xdr:spPr>
        <a:xfrm>
          <a:off x="685800" y="15373350"/>
          <a:ext cx="8087854" cy="4515480"/>
        </a:xfrm>
        <a:prstGeom prst="rect">
          <a:avLst/>
        </a:prstGeom>
      </xdr:spPr>
    </xdr:pic>
    <xdr:clientData/>
  </xdr:twoCellAnchor>
  <xdr:twoCellAnchor>
    <xdr:from>
      <xdr:col>4</xdr:col>
      <xdr:colOff>219807</xdr:colOff>
      <xdr:row>73</xdr:row>
      <xdr:rowOff>146539</xdr:rowOff>
    </xdr:from>
    <xdr:to>
      <xdr:col>13</xdr:col>
      <xdr:colOff>542192</xdr:colOff>
      <xdr:row>83</xdr:row>
      <xdr:rowOff>153865</xdr:rowOff>
    </xdr:to>
    <xdr:cxnSp macro="">
      <xdr:nvCxnSpPr>
        <xdr:cNvPr id="10" name="직선 화살표 연결선 9">
          <a:extLst>
            <a:ext uri="{FF2B5EF4-FFF2-40B4-BE49-F238E27FC236}">
              <a16:creationId xmlns:a16="http://schemas.microsoft.com/office/drawing/2014/main" id="{00000000-0008-0000-4A00-00000A000000}"/>
            </a:ext>
          </a:extLst>
        </xdr:cNvPr>
        <xdr:cNvCxnSpPr/>
      </xdr:nvCxnSpPr>
      <xdr:spPr>
        <a:xfrm flipV="1">
          <a:off x="3113942" y="15936058"/>
          <a:ext cx="6520962" cy="213213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14</xdr:col>
      <xdr:colOff>1</xdr:colOff>
      <xdr:row>76</xdr:row>
      <xdr:rowOff>0</xdr:rowOff>
    </xdr:from>
    <xdr:to>
      <xdr:col>24</xdr:col>
      <xdr:colOff>1</xdr:colOff>
      <xdr:row>83</xdr:row>
      <xdr:rowOff>158296</xdr:rowOff>
    </xdr:to>
    <xdr:pic>
      <xdr:nvPicPr>
        <xdr:cNvPr id="12" name="그림 11">
          <a:extLst>
            <a:ext uri="{FF2B5EF4-FFF2-40B4-BE49-F238E27FC236}">
              <a16:creationId xmlns:a16="http://schemas.microsoft.com/office/drawing/2014/main" id="{00000000-0008-0000-4A00-00000C000000}"/>
            </a:ext>
          </a:extLst>
        </xdr:cNvPr>
        <xdr:cNvPicPr>
          <a:picLocks noChangeAspect="1"/>
        </xdr:cNvPicPr>
      </xdr:nvPicPr>
      <xdr:blipFill>
        <a:blip xmlns:r="http://schemas.openxmlformats.org/officeDocument/2006/relationships" r:embed="rId4"/>
        <a:stretch>
          <a:fillRect/>
        </a:stretch>
      </xdr:blipFill>
      <xdr:spPr>
        <a:xfrm>
          <a:off x="9781443" y="16426962"/>
          <a:ext cx="3216520" cy="1645661"/>
        </a:xfrm>
        <a:prstGeom prst="rect">
          <a:avLst/>
        </a:prstGeom>
      </xdr:spPr>
    </xdr:pic>
    <xdr:clientData/>
  </xdr:twoCellAnchor>
  <xdr:twoCellAnchor editAs="oneCell">
    <xdr:from>
      <xdr:col>0</xdr:col>
      <xdr:colOff>437029</xdr:colOff>
      <xdr:row>98</xdr:row>
      <xdr:rowOff>68973</xdr:rowOff>
    </xdr:from>
    <xdr:to>
      <xdr:col>12</xdr:col>
      <xdr:colOff>327834</xdr:colOff>
      <xdr:row>123</xdr:row>
      <xdr:rowOff>140364</xdr:rowOff>
    </xdr:to>
    <xdr:pic>
      <xdr:nvPicPr>
        <xdr:cNvPr id="13" name="그림 12">
          <a:extLst>
            <a:ext uri="{FF2B5EF4-FFF2-40B4-BE49-F238E27FC236}">
              <a16:creationId xmlns:a16="http://schemas.microsoft.com/office/drawing/2014/main" id="{00000000-0008-0000-4A00-00000D000000}"/>
            </a:ext>
          </a:extLst>
        </xdr:cNvPr>
        <xdr:cNvPicPr>
          <a:picLocks noChangeAspect="1"/>
        </xdr:cNvPicPr>
      </xdr:nvPicPr>
      <xdr:blipFill>
        <a:blip xmlns:r="http://schemas.openxmlformats.org/officeDocument/2006/relationships" r:embed="rId5"/>
        <a:stretch>
          <a:fillRect/>
        </a:stretch>
      </xdr:blipFill>
      <xdr:spPr>
        <a:xfrm>
          <a:off x="437029" y="21225679"/>
          <a:ext cx="8239187" cy="5394185"/>
        </a:xfrm>
        <a:prstGeom prst="rect">
          <a:avLst/>
        </a:prstGeom>
      </xdr:spPr>
    </xdr:pic>
    <xdr:clientData/>
  </xdr:twoCellAnchor>
  <xdr:twoCellAnchor>
    <xdr:from>
      <xdr:col>28</xdr:col>
      <xdr:colOff>123265</xdr:colOff>
      <xdr:row>104</xdr:row>
      <xdr:rowOff>100853</xdr:rowOff>
    </xdr:from>
    <xdr:to>
      <xdr:col>28</xdr:col>
      <xdr:colOff>605118</xdr:colOff>
      <xdr:row>104</xdr:row>
      <xdr:rowOff>100853</xdr:rowOff>
    </xdr:to>
    <xdr:cxnSp macro="">
      <xdr:nvCxnSpPr>
        <xdr:cNvPr id="15" name="직선 화살표 연결선 14">
          <a:extLst>
            <a:ext uri="{FF2B5EF4-FFF2-40B4-BE49-F238E27FC236}">
              <a16:creationId xmlns:a16="http://schemas.microsoft.com/office/drawing/2014/main" id="{00000000-0008-0000-4A00-00000F000000}"/>
            </a:ext>
          </a:extLst>
        </xdr:cNvPr>
        <xdr:cNvCxnSpPr/>
      </xdr:nvCxnSpPr>
      <xdr:spPr>
        <a:xfrm>
          <a:off x="14309912" y="22535029"/>
          <a:ext cx="481853"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34</xdr:col>
      <xdr:colOff>327372</xdr:colOff>
      <xdr:row>104</xdr:row>
      <xdr:rowOff>73639</xdr:rowOff>
    </xdr:from>
    <xdr:to>
      <xdr:col>36</xdr:col>
      <xdr:colOff>571500</xdr:colOff>
      <xdr:row>104</xdr:row>
      <xdr:rowOff>95623</xdr:rowOff>
    </xdr:to>
    <xdr:cxnSp macro="">
      <xdr:nvCxnSpPr>
        <xdr:cNvPr id="16" name="직선 화살표 연결선 15">
          <a:extLst>
            <a:ext uri="{FF2B5EF4-FFF2-40B4-BE49-F238E27FC236}">
              <a16:creationId xmlns:a16="http://schemas.microsoft.com/office/drawing/2014/main" id="{00000000-0008-0000-4A00-000010000000}"/>
            </a:ext>
          </a:extLst>
        </xdr:cNvPr>
        <xdr:cNvCxnSpPr/>
      </xdr:nvCxnSpPr>
      <xdr:spPr>
        <a:xfrm>
          <a:off x="16683158" y="21627353"/>
          <a:ext cx="1604842" cy="2198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46</xdr:col>
      <xdr:colOff>190500</xdr:colOff>
      <xdr:row>103</xdr:row>
      <xdr:rowOff>81643</xdr:rowOff>
    </xdr:from>
    <xdr:to>
      <xdr:col>48</xdr:col>
      <xdr:colOff>434628</xdr:colOff>
      <xdr:row>103</xdr:row>
      <xdr:rowOff>103627</xdr:rowOff>
    </xdr:to>
    <xdr:cxnSp macro="">
      <xdr:nvCxnSpPr>
        <xdr:cNvPr id="19" name="직선 화살표 연결선 18">
          <a:extLst>
            <a:ext uri="{FF2B5EF4-FFF2-40B4-BE49-F238E27FC236}">
              <a16:creationId xmlns:a16="http://schemas.microsoft.com/office/drawing/2014/main" id="{00000000-0008-0000-4A00-000013000000}"/>
            </a:ext>
          </a:extLst>
        </xdr:cNvPr>
        <xdr:cNvCxnSpPr/>
      </xdr:nvCxnSpPr>
      <xdr:spPr>
        <a:xfrm>
          <a:off x="21036643" y="21431250"/>
          <a:ext cx="1604842" cy="2198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0</xdr:colOff>
      <xdr:row>127</xdr:row>
      <xdr:rowOff>0</xdr:rowOff>
    </xdr:from>
    <xdr:to>
      <xdr:col>18</xdr:col>
      <xdr:colOff>43451</xdr:colOff>
      <xdr:row>157</xdr:row>
      <xdr:rowOff>61972</xdr:rowOff>
    </xdr:to>
    <xdr:pic>
      <xdr:nvPicPr>
        <xdr:cNvPr id="20" name="그림 19">
          <a:extLst>
            <a:ext uri="{FF2B5EF4-FFF2-40B4-BE49-F238E27FC236}">
              <a16:creationId xmlns:a16="http://schemas.microsoft.com/office/drawing/2014/main" id="{00000000-0008-0000-4A00-000014000000}"/>
            </a:ext>
          </a:extLst>
        </xdr:cNvPr>
        <xdr:cNvPicPr>
          <a:picLocks noChangeAspect="1"/>
        </xdr:cNvPicPr>
      </xdr:nvPicPr>
      <xdr:blipFill>
        <a:blip xmlns:r="http://schemas.openxmlformats.org/officeDocument/2006/relationships" r:embed="rId6"/>
        <a:stretch>
          <a:fillRect/>
        </a:stretch>
      </xdr:blipFill>
      <xdr:spPr>
        <a:xfrm>
          <a:off x="683559" y="27331147"/>
          <a:ext cx="10240804" cy="6449325"/>
        </a:xfrm>
        <a:prstGeom prst="rect">
          <a:avLst/>
        </a:prstGeom>
      </xdr:spPr>
    </xdr:pic>
    <xdr:clientData/>
  </xdr:twoCellAnchor>
  <xdr:twoCellAnchor editAs="oneCell">
    <xdr:from>
      <xdr:col>0</xdr:col>
      <xdr:colOff>300404</xdr:colOff>
      <xdr:row>161</xdr:row>
      <xdr:rowOff>101632</xdr:rowOff>
    </xdr:from>
    <xdr:to>
      <xdr:col>11</xdr:col>
      <xdr:colOff>452804</xdr:colOff>
      <xdr:row>179</xdr:row>
      <xdr:rowOff>175106</xdr:rowOff>
    </xdr:to>
    <xdr:pic>
      <xdr:nvPicPr>
        <xdr:cNvPr id="21" name="그림 20">
          <a:extLst>
            <a:ext uri="{FF2B5EF4-FFF2-40B4-BE49-F238E27FC236}">
              <a16:creationId xmlns:a16="http://schemas.microsoft.com/office/drawing/2014/main" id="{00000000-0008-0000-4A00-000015000000}"/>
            </a:ext>
          </a:extLst>
        </xdr:cNvPr>
        <xdr:cNvPicPr>
          <a:picLocks noChangeAspect="1"/>
        </xdr:cNvPicPr>
      </xdr:nvPicPr>
      <xdr:blipFill>
        <a:blip xmlns:r="http://schemas.openxmlformats.org/officeDocument/2006/relationships" r:embed="rId7"/>
        <a:stretch>
          <a:fillRect/>
        </a:stretch>
      </xdr:blipFill>
      <xdr:spPr>
        <a:xfrm>
          <a:off x="300404" y="34589459"/>
          <a:ext cx="7867650" cy="3898128"/>
        </a:xfrm>
        <a:prstGeom prst="rect">
          <a:avLst/>
        </a:prstGeom>
      </xdr:spPr>
    </xdr:pic>
    <xdr:clientData/>
  </xdr:twoCellAnchor>
  <xdr:twoCellAnchor editAs="oneCell">
    <xdr:from>
      <xdr:col>0</xdr:col>
      <xdr:colOff>0</xdr:colOff>
      <xdr:row>182</xdr:row>
      <xdr:rowOff>0</xdr:rowOff>
    </xdr:from>
    <xdr:to>
      <xdr:col>14</xdr:col>
      <xdr:colOff>259309</xdr:colOff>
      <xdr:row>209</xdr:row>
      <xdr:rowOff>169343</xdr:rowOff>
    </xdr:to>
    <xdr:pic>
      <xdr:nvPicPr>
        <xdr:cNvPr id="22" name="그림 21">
          <a:extLst>
            <a:ext uri="{FF2B5EF4-FFF2-40B4-BE49-F238E27FC236}">
              <a16:creationId xmlns:a16="http://schemas.microsoft.com/office/drawing/2014/main" id="{00000000-0008-0000-4A00-000016000000}"/>
            </a:ext>
          </a:extLst>
        </xdr:cNvPr>
        <xdr:cNvPicPr>
          <a:picLocks noChangeAspect="1"/>
        </xdr:cNvPicPr>
      </xdr:nvPicPr>
      <xdr:blipFill>
        <a:blip xmlns:r="http://schemas.openxmlformats.org/officeDocument/2006/relationships" r:embed="rId8"/>
        <a:stretch>
          <a:fillRect/>
        </a:stretch>
      </xdr:blipFill>
      <xdr:spPr>
        <a:xfrm>
          <a:off x="0" y="38949923"/>
          <a:ext cx="10040751" cy="5906324"/>
        </a:xfrm>
        <a:prstGeom prst="rect">
          <a:avLst/>
        </a:prstGeom>
      </xdr:spPr>
    </xdr:pic>
    <xdr:clientData/>
  </xdr:twoCellAnchor>
  <xdr:twoCellAnchor editAs="oneCell">
    <xdr:from>
      <xdr:col>0</xdr:col>
      <xdr:colOff>0</xdr:colOff>
      <xdr:row>211</xdr:row>
      <xdr:rowOff>0</xdr:rowOff>
    </xdr:from>
    <xdr:to>
      <xdr:col>13</xdr:col>
      <xdr:colOff>81143</xdr:colOff>
      <xdr:row>234</xdr:row>
      <xdr:rowOff>133318</xdr:rowOff>
    </xdr:to>
    <xdr:pic>
      <xdr:nvPicPr>
        <xdr:cNvPr id="23" name="그림 22">
          <a:extLst>
            <a:ext uri="{FF2B5EF4-FFF2-40B4-BE49-F238E27FC236}">
              <a16:creationId xmlns:a16="http://schemas.microsoft.com/office/drawing/2014/main" id="{00000000-0008-0000-4A00-000017000000}"/>
            </a:ext>
          </a:extLst>
        </xdr:cNvPr>
        <xdr:cNvPicPr>
          <a:picLocks noChangeAspect="1"/>
        </xdr:cNvPicPr>
      </xdr:nvPicPr>
      <xdr:blipFill>
        <a:blip xmlns:r="http://schemas.openxmlformats.org/officeDocument/2006/relationships" r:embed="rId9"/>
        <a:stretch>
          <a:fillRect/>
        </a:stretch>
      </xdr:blipFill>
      <xdr:spPr>
        <a:xfrm>
          <a:off x="0" y="45111865"/>
          <a:ext cx="9173855" cy="5020376"/>
        </a:xfrm>
        <a:prstGeom prst="rect">
          <a:avLst/>
        </a:prstGeom>
      </xdr:spPr>
    </xdr:pic>
    <xdr:clientData/>
  </xdr:twoCellAnchor>
</xdr:wsDr>
</file>

<file path=xl/drawings/drawing6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30</xdr:col>
      <xdr:colOff>418506</xdr:colOff>
      <xdr:row>31</xdr:row>
      <xdr:rowOff>19930</xdr:rowOff>
    </xdr:to>
    <xdr:pic>
      <xdr:nvPicPr>
        <xdr:cNvPr id="2" name="그림 1">
          <a:extLst>
            <a:ext uri="{FF2B5EF4-FFF2-40B4-BE49-F238E27FC236}">
              <a16:creationId xmlns:a16="http://schemas.microsoft.com/office/drawing/2014/main" id="{00000000-0008-0000-4B00-000002000000}"/>
            </a:ext>
          </a:extLst>
        </xdr:cNvPr>
        <xdr:cNvPicPr>
          <a:picLocks noChangeAspect="1"/>
        </xdr:cNvPicPr>
      </xdr:nvPicPr>
      <xdr:blipFill>
        <a:blip xmlns:r="http://schemas.openxmlformats.org/officeDocument/2006/relationships" r:embed="rId1"/>
        <a:stretch>
          <a:fillRect/>
        </a:stretch>
      </xdr:blipFill>
      <xdr:spPr>
        <a:xfrm>
          <a:off x="685800" y="209550"/>
          <a:ext cx="9869277" cy="6306430"/>
        </a:xfrm>
        <a:prstGeom prst="rect">
          <a:avLst/>
        </a:prstGeom>
      </xdr:spPr>
    </xdr:pic>
    <xdr:clientData/>
  </xdr:twoCellAnchor>
</xdr:wsDr>
</file>

<file path=xl/drawings/drawing65.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14</xdr:col>
      <xdr:colOff>277412</xdr:colOff>
      <xdr:row>26</xdr:row>
      <xdr:rowOff>172176</xdr:rowOff>
    </xdr:to>
    <xdr:pic>
      <xdr:nvPicPr>
        <xdr:cNvPr id="2" name="그림 1">
          <a:extLst>
            <a:ext uri="{FF2B5EF4-FFF2-40B4-BE49-F238E27FC236}">
              <a16:creationId xmlns:a16="http://schemas.microsoft.com/office/drawing/2014/main" id="{00000000-0008-0000-4C00-000002000000}"/>
            </a:ext>
          </a:extLst>
        </xdr:cNvPr>
        <xdr:cNvPicPr>
          <a:picLocks noChangeAspect="1"/>
        </xdr:cNvPicPr>
      </xdr:nvPicPr>
      <xdr:blipFill>
        <a:blip xmlns:r="http://schemas.openxmlformats.org/officeDocument/2006/relationships" r:embed="rId1"/>
        <a:stretch>
          <a:fillRect/>
        </a:stretch>
      </xdr:blipFill>
      <xdr:spPr>
        <a:xfrm>
          <a:off x="1371600" y="419100"/>
          <a:ext cx="8507012" cy="5201376"/>
        </a:xfrm>
        <a:prstGeom prst="rect">
          <a:avLst/>
        </a:prstGeom>
      </xdr:spPr>
    </xdr:pic>
    <xdr:clientData/>
  </xdr:twoCellAnchor>
  <xdr:twoCellAnchor editAs="oneCell">
    <xdr:from>
      <xdr:col>2</xdr:col>
      <xdr:colOff>0</xdr:colOff>
      <xdr:row>30</xdr:row>
      <xdr:rowOff>0</xdr:rowOff>
    </xdr:from>
    <xdr:to>
      <xdr:col>17</xdr:col>
      <xdr:colOff>553963</xdr:colOff>
      <xdr:row>60</xdr:row>
      <xdr:rowOff>115193</xdr:rowOff>
    </xdr:to>
    <xdr:pic>
      <xdr:nvPicPr>
        <xdr:cNvPr id="3" name="그림 2">
          <a:extLst>
            <a:ext uri="{FF2B5EF4-FFF2-40B4-BE49-F238E27FC236}">
              <a16:creationId xmlns:a16="http://schemas.microsoft.com/office/drawing/2014/main" id="{00000000-0008-0000-4C00-000003000000}"/>
            </a:ext>
          </a:extLst>
        </xdr:cNvPr>
        <xdr:cNvPicPr>
          <a:picLocks noChangeAspect="1"/>
        </xdr:cNvPicPr>
      </xdr:nvPicPr>
      <xdr:blipFill>
        <a:blip xmlns:r="http://schemas.openxmlformats.org/officeDocument/2006/relationships" r:embed="rId2"/>
        <a:stretch>
          <a:fillRect/>
        </a:stretch>
      </xdr:blipFill>
      <xdr:spPr>
        <a:xfrm>
          <a:off x="1371600" y="6286500"/>
          <a:ext cx="10840963" cy="6401693"/>
        </a:xfrm>
        <a:prstGeom prst="rect">
          <a:avLst/>
        </a:prstGeom>
      </xdr:spPr>
    </xdr:pic>
    <xdr:clientData/>
  </xdr:twoCellAnchor>
  <xdr:twoCellAnchor editAs="oneCell">
    <xdr:from>
      <xdr:col>2</xdr:col>
      <xdr:colOff>0</xdr:colOff>
      <xdr:row>68</xdr:row>
      <xdr:rowOff>0</xdr:rowOff>
    </xdr:from>
    <xdr:to>
      <xdr:col>14</xdr:col>
      <xdr:colOff>667992</xdr:colOff>
      <xdr:row>93</xdr:row>
      <xdr:rowOff>153152</xdr:rowOff>
    </xdr:to>
    <xdr:pic>
      <xdr:nvPicPr>
        <xdr:cNvPr id="4" name="그림 3">
          <a:extLst>
            <a:ext uri="{FF2B5EF4-FFF2-40B4-BE49-F238E27FC236}">
              <a16:creationId xmlns:a16="http://schemas.microsoft.com/office/drawing/2014/main" id="{00000000-0008-0000-4C00-000004000000}"/>
            </a:ext>
          </a:extLst>
        </xdr:cNvPr>
        <xdr:cNvPicPr>
          <a:picLocks noChangeAspect="1"/>
        </xdr:cNvPicPr>
      </xdr:nvPicPr>
      <xdr:blipFill>
        <a:blip xmlns:r="http://schemas.openxmlformats.org/officeDocument/2006/relationships" r:embed="rId3"/>
        <a:stretch>
          <a:fillRect/>
        </a:stretch>
      </xdr:blipFill>
      <xdr:spPr>
        <a:xfrm>
          <a:off x="1371600" y="14249400"/>
          <a:ext cx="8897592" cy="5391902"/>
        </a:xfrm>
        <a:prstGeom prst="rect">
          <a:avLst/>
        </a:prstGeom>
      </xdr:spPr>
    </xdr:pic>
    <xdr:clientData/>
  </xdr:twoCellAnchor>
  <xdr:twoCellAnchor>
    <xdr:from>
      <xdr:col>10</xdr:col>
      <xdr:colOff>521805</xdr:colOff>
      <xdr:row>76</xdr:row>
      <xdr:rowOff>165652</xdr:rowOff>
    </xdr:from>
    <xdr:to>
      <xdr:col>16</xdr:col>
      <xdr:colOff>538370</xdr:colOff>
      <xdr:row>83</xdr:row>
      <xdr:rowOff>16565</xdr:rowOff>
    </xdr:to>
    <xdr:cxnSp macro="">
      <xdr:nvCxnSpPr>
        <xdr:cNvPr id="6" name="직선 화살표 연결선 5">
          <a:extLst>
            <a:ext uri="{FF2B5EF4-FFF2-40B4-BE49-F238E27FC236}">
              <a16:creationId xmlns:a16="http://schemas.microsoft.com/office/drawing/2014/main" id="{00000000-0008-0000-4C00-000006000000}"/>
            </a:ext>
          </a:extLst>
        </xdr:cNvPr>
        <xdr:cNvCxnSpPr/>
      </xdr:nvCxnSpPr>
      <xdr:spPr>
        <a:xfrm flipH="1">
          <a:off x="7396370" y="15902609"/>
          <a:ext cx="4141304" cy="1300369"/>
        </a:xfrm>
        <a:prstGeom prst="straightConnector1">
          <a:avLst/>
        </a:prstGeom>
        <a:ln>
          <a:solidFill>
            <a:schemeClr val="accent6">
              <a:lumMod val="50000"/>
            </a:schemeClr>
          </a:solidFill>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editAs="oneCell">
    <xdr:from>
      <xdr:col>1</xdr:col>
      <xdr:colOff>0</xdr:colOff>
      <xdr:row>98</xdr:row>
      <xdr:rowOff>0</xdr:rowOff>
    </xdr:from>
    <xdr:to>
      <xdr:col>13</xdr:col>
      <xdr:colOff>171797</xdr:colOff>
      <xdr:row>100</xdr:row>
      <xdr:rowOff>14554</xdr:rowOff>
    </xdr:to>
    <xdr:pic>
      <xdr:nvPicPr>
        <xdr:cNvPr id="8" name="그림 7">
          <a:extLst>
            <a:ext uri="{FF2B5EF4-FFF2-40B4-BE49-F238E27FC236}">
              <a16:creationId xmlns:a16="http://schemas.microsoft.com/office/drawing/2014/main" id="{00000000-0008-0000-4C00-000008000000}"/>
            </a:ext>
          </a:extLst>
        </xdr:cNvPr>
        <xdr:cNvPicPr>
          <a:picLocks noChangeAspect="1"/>
        </xdr:cNvPicPr>
      </xdr:nvPicPr>
      <xdr:blipFill>
        <a:blip xmlns:r="http://schemas.openxmlformats.org/officeDocument/2006/relationships" r:embed="rId4"/>
        <a:stretch>
          <a:fillRect/>
        </a:stretch>
      </xdr:blipFill>
      <xdr:spPr>
        <a:xfrm>
          <a:off x="687457" y="20292391"/>
          <a:ext cx="8421275" cy="428685"/>
        </a:xfrm>
        <a:prstGeom prst="rect">
          <a:avLst/>
        </a:prstGeom>
      </xdr:spPr>
    </xdr:pic>
    <xdr:clientData/>
  </xdr:twoCellAnchor>
</xdr:wsDr>
</file>

<file path=xl/drawings/drawing66.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20</xdr:col>
      <xdr:colOff>354197</xdr:colOff>
      <xdr:row>24</xdr:row>
      <xdr:rowOff>38749</xdr:rowOff>
    </xdr:to>
    <xdr:pic>
      <xdr:nvPicPr>
        <xdr:cNvPr id="2" name="그림 1">
          <a:extLst>
            <a:ext uri="{FF2B5EF4-FFF2-40B4-BE49-F238E27FC236}">
              <a16:creationId xmlns:a16="http://schemas.microsoft.com/office/drawing/2014/main" id="{00000000-0008-0000-4E00-000002000000}"/>
            </a:ext>
          </a:extLst>
        </xdr:cNvPr>
        <xdr:cNvPicPr>
          <a:picLocks noChangeAspect="1"/>
        </xdr:cNvPicPr>
      </xdr:nvPicPr>
      <xdr:blipFill>
        <a:blip xmlns:r="http://schemas.openxmlformats.org/officeDocument/2006/relationships" r:embed="rId1"/>
        <a:stretch>
          <a:fillRect/>
        </a:stretch>
      </xdr:blipFill>
      <xdr:spPr>
        <a:xfrm>
          <a:off x="1371600" y="419100"/>
          <a:ext cx="12698597" cy="4648849"/>
        </a:xfrm>
        <a:prstGeom prst="rect">
          <a:avLst/>
        </a:prstGeom>
      </xdr:spPr>
    </xdr:pic>
    <xdr:clientData/>
  </xdr:twoCellAnchor>
</xdr:wsDr>
</file>

<file path=xl/drawings/drawing67.xml><?xml version="1.0" encoding="utf-8"?>
<xdr:wsDr xmlns:xdr="http://schemas.openxmlformats.org/drawingml/2006/spreadsheetDrawing" xmlns:a="http://schemas.openxmlformats.org/drawingml/2006/main">
  <xdr:twoCellAnchor editAs="oneCell">
    <xdr:from>
      <xdr:col>0</xdr:col>
      <xdr:colOff>0</xdr:colOff>
      <xdr:row>1</xdr:row>
      <xdr:rowOff>189273</xdr:rowOff>
    </xdr:from>
    <xdr:to>
      <xdr:col>10</xdr:col>
      <xdr:colOff>11042</xdr:colOff>
      <xdr:row>22</xdr:row>
      <xdr:rowOff>153364</xdr:rowOff>
    </xdr:to>
    <xdr:pic>
      <xdr:nvPicPr>
        <xdr:cNvPr id="2" name="그림 1">
          <a:extLst>
            <a:ext uri="{FF2B5EF4-FFF2-40B4-BE49-F238E27FC236}">
              <a16:creationId xmlns:a16="http://schemas.microsoft.com/office/drawing/2014/main" id="{00000000-0008-0000-4F00-000002000000}"/>
            </a:ext>
          </a:extLst>
        </xdr:cNvPr>
        <xdr:cNvPicPr>
          <a:picLocks noChangeAspect="1"/>
        </xdr:cNvPicPr>
      </xdr:nvPicPr>
      <xdr:blipFill>
        <a:blip xmlns:r="http://schemas.openxmlformats.org/officeDocument/2006/relationships" r:embed="rId1"/>
        <a:stretch>
          <a:fillRect/>
        </a:stretch>
      </xdr:blipFill>
      <xdr:spPr>
        <a:xfrm>
          <a:off x="0" y="398823"/>
          <a:ext cx="6869042" cy="4364641"/>
        </a:xfrm>
        <a:prstGeom prst="rect">
          <a:avLst/>
        </a:prstGeom>
      </xdr:spPr>
    </xdr:pic>
    <xdr:clientData/>
  </xdr:twoCellAnchor>
  <xdr:twoCellAnchor editAs="oneCell">
    <xdr:from>
      <xdr:col>11</xdr:col>
      <xdr:colOff>336177</xdr:colOff>
      <xdr:row>0</xdr:row>
      <xdr:rowOff>0</xdr:rowOff>
    </xdr:from>
    <xdr:to>
      <xdr:col>21</xdr:col>
      <xdr:colOff>648596</xdr:colOff>
      <xdr:row>22</xdr:row>
      <xdr:rowOff>159854</xdr:rowOff>
    </xdr:to>
    <xdr:pic>
      <xdr:nvPicPr>
        <xdr:cNvPr id="3" name="그림 2">
          <a:extLst>
            <a:ext uri="{FF2B5EF4-FFF2-40B4-BE49-F238E27FC236}">
              <a16:creationId xmlns:a16="http://schemas.microsoft.com/office/drawing/2014/main" id="{00000000-0008-0000-4F00-000003000000}"/>
            </a:ext>
          </a:extLst>
        </xdr:cNvPr>
        <xdr:cNvPicPr>
          <a:picLocks noChangeAspect="1"/>
        </xdr:cNvPicPr>
      </xdr:nvPicPr>
      <xdr:blipFill>
        <a:blip xmlns:r="http://schemas.openxmlformats.org/officeDocument/2006/relationships" r:embed="rId2"/>
        <a:stretch>
          <a:fillRect/>
        </a:stretch>
      </xdr:blipFill>
      <xdr:spPr>
        <a:xfrm>
          <a:off x="7855324" y="0"/>
          <a:ext cx="7148007" cy="4843913"/>
        </a:xfrm>
        <a:prstGeom prst="rect">
          <a:avLst/>
        </a:prstGeom>
      </xdr:spPr>
    </xdr:pic>
    <xdr:clientData/>
  </xdr:twoCellAnchor>
  <xdr:twoCellAnchor>
    <xdr:from>
      <xdr:col>12</xdr:col>
      <xdr:colOff>232171</xdr:colOff>
      <xdr:row>19</xdr:row>
      <xdr:rowOff>5953</xdr:rowOff>
    </xdr:from>
    <xdr:to>
      <xdr:col>14</xdr:col>
      <xdr:colOff>160735</xdr:colOff>
      <xdr:row>24</xdr:row>
      <xdr:rowOff>53578</xdr:rowOff>
    </xdr:to>
    <xdr:cxnSp macro="">
      <xdr:nvCxnSpPr>
        <xdr:cNvPr id="5" name="직선 화살표 연결선 4">
          <a:extLst>
            <a:ext uri="{FF2B5EF4-FFF2-40B4-BE49-F238E27FC236}">
              <a16:creationId xmlns:a16="http://schemas.microsoft.com/office/drawing/2014/main" id="{00000000-0008-0000-4F00-000005000000}"/>
            </a:ext>
          </a:extLst>
        </xdr:cNvPr>
        <xdr:cNvCxnSpPr/>
      </xdr:nvCxnSpPr>
      <xdr:spPr>
        <a:xfrm>
          <a:off x="8447484" y="3964781"/>
          <a:ext cx="1297782" cy="1089422"/>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6</xdr:col>
      <xdr:colOff>128411</xdr:colOff>
      <xdr:row>36</xdr:row>
      <xdr:rowOff>80596</xdr:rowOff>
    </xdr:from>
    <xdr:to>
      <xdr:col>17</xdr:col>
      <xdr:colOff>264583</xdr:colOff>
      <xdr:row>62</xdr:row>
      <xdr:rowOff>53932</xdr:rowOff>
    </xdr:to>
    <xdr:pic>
      <xdr:nvPicPr>
        <xdr:cNvPr id="6" name="그림 5">
          <a:extLst>
            <a:ext uri="{FF2B5EF4-FFF2-40B4-BE49-F238E27FC236}">
              <a16:creationId xmlns:a16="http://schemas.microsoft.com/office/drawing/2014/main" id="{00000000-0008-0000-4F00-000006000000}"/>
            </a:ext>
          </a:extLst>
        </xdr:cNvPr>
        <xdr:cNvPicPr>
          <a:picLocks noChangeAspect="1"/>
        </xdr:cNvPicPr>
      </xdr:nvPicPr>
      <xdr:blipFill>
        <a:blip xmlns:r="http://schemas.openxmlformats.org/officeDocument/2006/relationships" r:embed="rId3"/>
        <a:stretch>
          <a:fillRect/>
        </a:stretch>
      </xdr:blipFill>
      <xdr:spPr>
        <a:xfrm>
          <a:off x="4260796" y="7729904"/>
          <a:ext cx="7712210" cy="549783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26275</xdr:colOff>
      <xdr:row>6</xdr:row>
      <xdr:rowOff>210208</xdr:rowOff>
    </xdr:from>
    <xdr:to>
      <xdr:col>9</xdr:col>
      <xdr:colOff>243052</xdr:colOff>
      <xdr:row>7</xdr:row>
      <xdr:rowOff>0</xdr:rowOff>
    </xdr:to>
    <xdr:cxnSp macro="">
      <xdr:nvCxnSpPr>
        <xdr:cNvPr id="33" name="직선 연결선 32">
          <a:extLst>
            <a:ext uri="{FF2B5EF4-FFF2-40B4-BE49-F238E27FC236}">
              <a16:creationId xmlns:a16="http://schemas.microsoft.com/office/drawing/2014/main" id="{00000000-0008-0000-0800-000021000000}"/>
            </a:ext>
          </a:extLst>
        </xdr:cNvPr>
        <xdr:cNvCxnSpPr/>
      </xdr:nvCxnSpPr>
      <xdr:spPr>
        <a:xfrm flipV="1">
          <a:off x="1642241" y="1471449"/>
          <a:ext cx="1024759" cy="6568"/>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9</xdr:col>
      <xdr:colOff>262759</xdr:colOff>
      <xdr:row>4</xdr:row>
      <xdr:rowOff>13138</xdr:rowOff>
    </xdr:from>
    <xdr:to>
      <xdr:col>10</xdr:col>
      <xdr:colOff>0</xdr:colOff>
      <xdr:row>6</xdr:row>
      <xdr:rowOff>197069</xdr:rowOff>
    </xdr:to>
    <xdr:cxnSp macro="">
      <xdr:nvCxnSpPr>
        <xdr:cNvPr id="35" name="직선 연결선 34">
          <a:extLst>
            <a:ext uri="{FF2B5EF4-FFF2-40B4-BE49-F238E27FC236}">
              <a16:creationId xmlns:a16="http://schemas.microsoft.com/office/drawing/2014/main" id="{00000000-0008-0000-0800-000023000000}"/>
            </a:ext>
          </a:extLst>
        </xdr:cNvPr>
        <xdr:cNvCxnSpPr/>
      </xdr:nvCxnSpPr>
      <xdr:spPr>
        <a:xfrm flipH="1" flipV="1">
          <a:off x="2686707" y="853966"/>
          <a:ext cx="6569" cy="604344"/>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6568</xdr:colOff>
      <xdr:row>4</xdr:row>
      <xdr:rowOff>26275</xdr:rowOff>
    </xdr:from>
    <xdr:to>
      <xdr:col>10</xdr:col>
      <xdr:colOff>0</xdr:colOff>
      <xdr:row>7</xdr:row>
      <xdr:rowOff>6569</xdr:rowOff>
    </xdr:to>
    <xdr:cxnSp macro="">
      <xdr:nvCxnSpPr>
        <xdr:cNvPr id="39" name="직선 연결선 38">
          <a:extLst>
            <a:ext uri="{FF2B5EF4-FFF2-40B4-BE49-F238E27FC236}">
              <a16:creationId xmlns:a16="http://schemas.microsoft.com/office/drawing/2014/main" id="{00000000-0008-0000-0800-000027000000}"/>
            </a:ext>
          </a:extLst>
        </xdr:cNvPr>
        <xdr:cNvCxnSpPr/>
      </xdr:nvCxnSpPr>
      <xdr:spPr>
        <a:xfrm flipH="1">
          <a:off x="1622534" y="867103"/>
          <a:ext cx="860535" cy="617483"/>
        </a:xfrm>
        <a:prstGeom prst="line">
          <a:avLst/>
        </a:prstGeom>
        <a:ln/>
      </xdr:spPr>
      <xdr:style>
        <a:lnRef idx="3">
          <a:schemeClr val="accent5"/>
        </a:lnRef>
        <a:fillRef idx="0">
          <a:schemeClr val="accent5"/>
        </a:fillRef>
        <a:effectRef idx="2">
          <a:schemeClr val="accent5"/>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14</xdr:col>
      <xdr:colOff>504825</xdr:colOff>
      <xdr:row>0</xdr:row>
      <xdr:rowOff>161925</xdr:rowOff>
    </xdr:from>
    <xdr:to>
      <xdr:col>24</xdr:col>
      <xdr:colOff>305773</xdr:colOff>
      <xdr:row>14</xdr:row>
      <xdr:rowOff>387</xdr:rowOff>
    </xdr:to>
    <xdr:pic>
      <xdr:nvPicPr>
        <xdr:cNvPr id="2" name="그림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5991225" y="161925"/>
          <a:ext cx="6973273" cy="2772162"/>
        </a:xfrm>
        <a:prstGeom prst="rect">
          <a:avLst/>
        </a:prstGeom>
      </xdr:spPr>
    </xdr:pic>
    <xdr:clientData/>
  </xdr:twoCellAnchor>
  <xdr:twoCellAnchor>
    <xdr:from>
      <xdr:col>8</xdr:col>
      <xdr:colOff>8164</xdr:colOff>
      <xdr:row>1</xdr:row>
      <xdr:rowOff>146276</xdr:rowOff>
    </xdr:from>
    <xdr:to>
      <xdr:col>14</xdr:col>
      <xdr:colOff>465364</xdr:colOff>
      <xdr:row>14</xdr:row>
      <xdr:rowOff>159883</xdr:rowOff>
    </xdr:to>
    <xdr:graphicFrame macro="">
      <xdr:nvGraphicFramePr>
        <xdr:cNvPr id="3" name="차트 2">
          <a:extLst>
            <a:ext uri="{FF2B5EF4-FFF2-40B4-BE49-F238E27FC236}">
              <a16:creationId xmlns:a16="http://schemas.microsoft.com/office/drawing/2014/main" id="{00000000-0008-0000-09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12247</xdr:colOff>
      <xdr:row>15</xdr:row>
      <xdr:rowOff>6123</xdr:rowOff>
    </xdr:from>
    <xdr:to>
      <xdr:col>14</xdr:col>
      <xdr:colOff>469447</xdr:colOff>
      <xdr:row>28</xdr:row>
      <xdr:rowOff>25173</xdr:rowOff>
    </xdr:to>
    <xdr:graphicFrame macro="">
      <xdr:nvGraphicFramePr>
        <xdr:cNvPr id="4" name="차트 3">
          <a:extLst>
            <a:ext uri="{FF2B5EF4-FFF2-40B4-BE49-F238E27FC236}">
              <a16:creationId xmlns:a16="http://schemas.microsoft.com/office/drawing/2014/main" id="{00000000-0008-0000-09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381000</xdr:colOff>
      <xdr:row>28</xdr:row>
      <xdr:rowOff>138112</xdr:rowOff>
    </xdr:from>
    <xdr:to>
      <xdr:col>14</xdr:col>
      <xdr:colOff>152400</xdr:colOff>
      <xdr:row>41</xdr:row>
      <xdr:rowOff>157162</xdr:rowOff>
    </xdr:to>
    <xdr:graphicFrame macro="">
      <xdr:nvGraphicFramePr>
        <xdr:cNvPr id="5" name="차트 4">
          <a:extLst>
            <a:ext uri="{FF2B5EF4-FFF2-40B4-BE49-F238E27FC236}">
              <a16:creationId xmlns:a16="http://schemas.microsoft.com/office/drawing/2014/main" id="{00000000-0008-0000-09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266700</xdr:colOff>
      <xdr:row>44</xdr:row>
      <xdr:rowOff>23812</xdr:rowOff>
    </xdr:from>
    <xdr:to>
      <xdr:col>12</xdr:col>
      <xdr:colOff>38100</xdr:colOff>
      <xdr:row>57</xdr:row>
      <xdr:rowOff>42862</xdr:rowOff>
    </xdr:to>
    <xdr:graphicFrame macro="">
      <xdr:nvGraphicFramePr>
        <xdr:cNvPr id="6" name="차트 5">
          <a:extLst>
            <a:ext uri="{FF2B5EF4-FFF2-40B4-BE49-F238E27FC236}">
              <a16:creationId xmlns:a16="http://schemas.microsoft.com/office/drawing/2014/main" id="{00000000-0008-0000-09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104775</xdr:colOff>
      <xdr:row>44</xdr:row>
      <xdr:rowOff>80962</xdr:rowOff>
    </xdr:from>
    <xdr:to>
      <xdr:col>18</xdr:col>
      <xdr:colOff>561975</xdr:colOff>
      <xdr:row>57</xdr:row>
      <xdr:rowOff>100012</xdr:rowOff>
    </xdr:to>
    <xdr:graphicFrame macro="">
      <xdr:nvGraphicFramePr>
        <xdr:cNvPr id="7" name="차트 6">
          <a:extLst>
            <a:ext uri="{FF2B5EF4-FFF2-40B4-BE49-F238E27FC236}">
              <a16:creationId xmlns:a16="http://schemas.microsoft.com/office/drawing/2014/main" id="{00000000-0008-0000-09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20</xdr:col>
      <xdr:colOff>0</xdr:colOff>
      <xdr:row>30</xdr:row>
      <xdr:rowOff>0</xdr:rowOff>
    </xdr:from>
    <xdr:to>
      <xdr:col>25</xdr:col>
      <xdr:colOff>1543788</xdr:colOff>
      <xdr:row>54</xdr:row>
      <xdr:rowOff>19755</xdr:rowOff>
    </xdr:to>
    <xdr:pic>
      <xdr:nvPicPr>
        <xdr:cNvPr id="8" name="그림 7">
          <a:extLst>
            <a:ext uri="{FF2B5EF4-FFF2-40B4-BE49-F238E27FC236}">
              <a16:creationId xmlns:a16="http://schemas.microsoft.com/office/drawing/2014/main" id="{00000000-0008-0000-0900-000008000000}"/>
            </a:ext>
          </a:extLst>
        </xdr:cNvPr>
        <xdr:cNvPicPr>
          <a:picLocks noChangeAspect="1"/>
        </xdr:cNvPicPr>
      </xdr:nvPicPr>
      <xdr:blipFill>
        <a:blip xmlns:r="http://schemas.openxmlformats.org/officeDocument/2006/relationships" r:embed="rId7"/>
        <a:stretch>
          <a:fillRect/>
        </a:stretch>
      </xdr:blipFill>
      <xdr:spPr>
        <a:xfrm>
          <a:off x="13716000" y="6286500"/>
          <a:ext cx="5287113" cy="5048955"/>
        </a:xfrm>
        <a:prstGeom prst="rect">
          <a:avLst/>
        </a:prstGeom>
      </xdr:spPr>
    </xdr:pic>
    <xdr:clientData/>
  </xdr:twoCellAnchor>
  <xdr:twoCellAnchor>
    <xdr:from>
      <xdr:col>7</xdr:col>
      <xdr:colOff>85725</xdr:colOff>
      <xdr:row>72</xdr:row>
      <xdr:rowOff>128587</xdr:rowOff>
    </xdr:from>
    <xdr:to>
      <xdr:col>13</xdr:col>
      <xdr:colOff>542925</xdr:colOff>
      <xdr:row>85</xdr:row>
      <xdr:rowOff>147637</xdr:rowOff>
    </xdr:to>
    <xdr:graphicFrame macro="">
      <xdr:nvGraphicFramePr>
        <xdr:cNvPr id="9" name="차트 8">
          <a:extLst>
            <a:ext uri="{FF2B5EF4-FFF2-40B4-BE49-F238E27FC236}">
              <a16:creationId xmlns:a16="http://schemas.microsoft.com/office/drawing/2014/main" id="{00000000-0008-0000-09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619125</xdr:colOff>
      <xdr:row>72</xdr:row>
      <xdr:rowOff>157162</xdr:rowOff>
    </xdr:from>
    <xdr:to>
      <xdr:col>20</xdr:col>
      <xdr:colOff>390525</xdr:colOff>
      <xdr:row>85</xdr:row>
      <xdr:rowOff>176212</xdr:rowOff>
    </xdr:to>
    <xdr:graphicFrame macro="">
      <xdr:nvGraphicFramePr>
        <xdr:cNvPr id="10" name="차트 9">
          <a:extLst>
            <a:ext uri="{FF2B5EF4-FFF2-40B4-BE49-F238E27FC236}">
              <a16:creationId xmlns:a16="http://schemas.microsoft.com/office/drawing/2014/main" id="{00000000-0008-0000-09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38100</xdr:colOff>
      <xdr:row>59</xdr:row>
      <xdr:rowOff>38100</xdr:rowOff>
    </xdr:from>
    <xdr:to>
      <xdr:col>17</xdr:col>
      <xdr:colOff>495300</xdr:colOff>
      <xdr:row>72</xdr:row>
      <xdr:rowOff>57150</xdr:rowOff>
    </xdr:to>
    <xdr:graphicFrame macro="">
      <xdr:nvGraphicFramePr>
        <xdr:cNvPr id="11" name="차트 10">
          <a:extLst>
            <a:ext uri="{FF2B5EF4-FFF2-40B4-BE49-F238E27FC236}">
              <a16:creationId xmlns:a16="http://schemas.microsoft.com/office/drawing/2014/main" id="{00000000-0008-0000-09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476250</xdr:colOff>
      <xdr:row>86</xdr:row>
      <xdr:rowOff>100012</xdr:rowOff>
    </xdr:from>
    <xdr:to>
      <xdr:col>17</xdr:col>
      <xdr:colOff>247650</xdr:colOff>
      <xdr:row>99</xdr:row>
      <xdr:rowOff>119062</xdr:rowOff>
    </xdr:to>
    <xdr:graphicFrame macro="">
      <xdr:nvGraphicFramePr>
        <xdr:cNvPr id="12" name="차트 11">
          <a:extLst>
            <a:ext uri="{FF2B5EF4-FFF2-40B4-BE49-F238E27FC236}">
              <a16:creationId xmlns:a16="http://schemas.microsoft.com/office/drawing/2014/main" id="{00000000-0008-0000-0900-00000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20</xdr:col>
      <xdr:colOff>421821</xdr:colOff>
      <xdr:row>68</xdr:row>
      <xdr:rowOff>54428</xdr:rowOff>
    </xdr:from>
    <xdr:to>
      <xdr:col>25</xdr:col>
      <xdr:colOff>2018683</xdr:colOff>
      <xdr:row>92</xdr:row>
      <xdr:rowOff>64656</xdr:rowOff>
    </xdr:to>
    <xdr:pic>
      <xdr:nvPicPr>
        <xdr:cNvPr id="13" name="그림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12"/>
        <a:stretch>
          <a:fillRect/>
        </a:stretch>
      </xdr:blipFill>
      <xdr:spPr>
        <a:xfrm>
          <a:off x="14028964" y="13933714"/>
          <a:ext cx="5296644" cy="4908799"/>
        </a:xfrm>
        <a:prstGeom prst="rect">
          <a:avLst/>
        </a:prstGeom>
      </xdr:spPr>
    </xdr:pic>
    <xdr:clientData/>
  </xdr:twoCellAnchor>
  <xdr:twoCellAnchor editAs="oneCell">
    <xdr:from>
      <xdr:col>10</xdr:col>
      <xdr:colOff>0</xdr:colOff>
      <xdr:row>105</xdr:row>
      <xdr:rowOff>0</xdr:rowOff>
    </xdr:from>
    <xdr:to>
      <xdr:col>19</xdr:col>
      <xdr:colOff>572441</xdr:colOff>
      <xdr:row>120</xdr:row>
      <xdr:rowOff>181439</xdr:rowOff>
    </xdr:to>
    <xdr:pic>
      <xdr:nvPicPr>
        <xdr:cNvPr id="14" name="그림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13"/>
        <a:stretch>
          <a:fillRect/>
        </a:stretch>
      </xdr:blipFill>
      <xdr:spPr>
        <a:xfrm>
          <a:off x="6858000" y="22002750"/>
          <a:ext cx="6744641" cy="3324689"/>
        </a:xfrm>
        <a:prstGeom prst="rect">
          <a:avLst/>
        </a:prstGeom>
      </xdr:spPr>
    </xdr:pic>
    <xdr:clientData/>
  </xdr:twoCellAnchor>
  <xdr:twoCellAnchor>
    <xdr:from>
      <xdr:col>23</xdr:col>
      <xdr:colOff>285750</xdr:colOff>
      <xdr:row>105</xdr:row>
      <xdr:rowOff>71437</xdr:rowOff>
    </xdr:from>
    <xdr:to>
      <xdr:col>28</xdr:col>
      <xdr:colOff>57150</xdr:colOff>
      <xdr:row>118</xdr:row>
      <xdr:rowOff>90487</xdr:rowOff>
    </xdr:to>
    <xdr:graphicFrame macro="">
      <xdr:nvGraphicFramePr>
        <xdr:cNvPr id="15" name="차트 14">
          <a:extLst>
            <a:ext uri="{FF2B5EF4-FFF2-40B4-BE49-F238E27FC236}">
              <a16:creationId xmlns:a16="http://schemas.microsoft.com/office/drawing/2014/main" id="{00000000-0008-0000-0900-00000F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33</xdr:col>
      <xdr:colOff>68035</xdr:colOff>
      <xdr:row>119</xdr:row>
      <xdr:rowOff>159202</xdr:rowOff>
    </xdr:from>
    <xdr:to>
      <xdr:col>39</xdr:col>
      <xdr:colOff>421821</xdr:colOff>
      <xdr:row>135</xdr:row>
      <xdr:rowOff>68035</xdr:rowOff>
    </xdr:to>
    <xdr:graphicFrame macro="">
      <xdr:nvGraphicFramePr>
        <xdr:cNvPr id="18" name="차트 17">
          <a:extLst>
            <a:ext uri="{FF2B5EF4-FFF2-40B4-BE49-F238E27FC236}">
              <a16:creationId xmlns:a16="http://schemas.microsoft.com/office/drawing/2014/main" id="{00000000-0008-0000-0900-00001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42</xdr:col>
      <xdr:colOff>176893</xdr:colOff>
      <xdr:row>121</xdr:row>
      <xdr:rowOff>77561</xdr:rowOff>
    </xdr:from>
    <xdr:to>
      <xdr:col>48</xdr:col>
      <xdr:colOff>666750</xdr:colOff>
      <xdr:row>134</xdr:row>
      <xdr:rowOff>167368</xdr:rowOff>
    </xdr:to>
    <xdr:graphicFrame macro="">
      <xdr:nvGraphicFramePr>
        <xdr:cNvPr id="19" name="차트 18">
          <a:extLst>
            <a:ext uri="{FF2B5EF4-FFF2-40B4-BE49-F238E27FC236}">
              <a16:creationId xmlns:a16="http://schemas.microsoft.com/office/drawing/2014/main" id="{00000000-0008-0000-0900-00001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12</xdr:col>
      <xdr:colOff>134326</xdr:colOff>
      <xdr:row>20</xdr:row>
      <xdr:rowOff>526</xdr:rowOff>
    </xdr:to>
    <xdr:pic>
      <xdr:nvPicPr>
        <xdr:cNvPr id="2" name="그림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1371600" y="419100"/>
          <a:ext cx="6992326" cy="3772426"/>
        </a:xfrm>
        <a:prstGeom prst="rect">
          <a:avLst/>
        </a:prstGeom>
      </xdr:spPr>
    </xdr:pic>
    <xdr:clientData/>
  </xdr:twoCellAnchor>
  <xdr:twoCellAnchor editAs="oneCell">
    <xdr:from>
      <xdr:col>2</xdr:col>
      <xdr:colOff>0</xdr:colOff>
      <xdr:row>21</xdr:row>
      <xdr:rowOff>0</xdr:rowOff>
    </xdr:from>
    <xdr:to>
      <xdr:col>5</xdr:col>
      <xdr:colOff>190814</xdr:colOff>
      <xdr:row>25</xdr:row>
      <xdr:rowOff>47749</xdr:rowOff>
    </xdr:to>
    <xdr:pic>
      <xdr:nvPicPr>
        <xdr:cNvPr id="3" name="그림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1371600" y="4400550"/>
          <a:ext cx="2248214" cy="88594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OneDrive\&#47928;&#49436;\&#53685;&#44228;&#44592;&#52488;\source\&#51456;&#48708;&#54028;&#51068;\3&#51109;_&#49345;&#51088;&#49688;&#50684;&#44536;&#47548;%20-%20&#48373;&#49324;&#48376;.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상태(이상치 있다)"/>
      <sheetName val="상태(이상치 없슴)"/>
    </sheetNames>
    <sheetDataSet>
      <sheetData sheetId="0" refreshError="1"/>
      <sheetData sheetId="1" refreshError="1"/>
    </sheetDataSet>
  </externalBook>
</externalLink>
</file>

<file path=xl/pivotCache/_rels/pivotCacheDefinition1.xml.rels><?xml version="1.0" encoding="UTF-8" standalone="yes"?>
<Relationships xmlns="http://schemas.openxmlformats.org/package/2006/relationships"><Relationship Id="rId2" Type="http://schemas.microsoft.com/office/2006/relationships/xlExternalLinkPath/xlPathMissing" Target="&#49688;&#54617;_&#45936;&#51060;&#53552;_&#44592;&#52488;&#51088;&#47308;.xlsx" TargetMode="External"/><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microsoft.com/office/2006/relationships/xlExternalLinkPath/xlPathMissing" Target="&#49688;&#54617;_&#45936;&#51060;&#53552;_&#44592;&#52488;&#51088;&#47308;.xlsx" TargetMode="External"/><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만든 이" refreshedDate="45512.512446296299" createdVersion="6" refreshedVersion="6" minRefreshableVersion="3" recordCount="5" xr:uid="{00000000-000A-0000-FFFF-FFFF00000000}">
  <cacheSource type="worksheet">
    <worksheetSource ref="A1:D6" sheet="pivot_table" r:id="rId2"/>
  </cacheSource>
  <cacheFields count="4">
    <cacheField name="학생" numFmtId="0">
      <sharedItems count="5">
        <s v="B"/>
        <s v="A"/>
        <s v="E"/>
        <s v="C"/>
        <s v="D"/>
      </sharedItems>
    </cacheField>
    <cacheField name="국" numFmtId="0">
      <sharedItems containsSemiMixedTypes="0" containsString="0" containsNumber="1" containsInteger="1" minValue="70" maxValue="95" count="5">
        <n v="90"/>
        <n v="80"/>
        <n v="75"/>
        <n v="95"/>
        <n v="70"/>
      </sharedItems>
    </cacheField>
    <cacheField name="영" numFmtId="0">
      <sharedItems containsSemiMixedTypes="0" containsString="0" containsNumber="1" containsInteger="1" minValue="70" maxValue="95" count="4">
        <n v="95"/>
        <n v="90"/>
        <n v="70"/>
        <n v="85"/>
      </sharedItems>
    </cacheField>
    <cacheField name="수" numFmtId="0">
      <sharedItems containsSemiMixedTypes="0" containsString="0" containsNumber="1" containsInteger="1" minValue="75" maxValue="95" count="4">
        <n v="95"/>
        <n v="85"/>
        <n v="75"/>
        <n v="8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만든 이" refreshedDate="45512.516649537036" createdVersion="6" refreshedVersion="6" minRefreshableVersion="3" recordCount="3" xr:uid="{00000000-000A-0000-FFFF-FFFF01000000}">
  <cacheSource type="worksheet">
    <worksheetSource ref="A9:F12" sheet="pivot_table" r:id="rId2"/>
  </cacheSource>
  <cacheFields count="6">
    <cacheField name="과목" numFmtId="0">
      <sharedItems count="3">
        <s v="국"/>
        <s v="영"/>
        <s v="수"/>
      </sharedItems>
    </cacheField>
    <cacheField name="B" numFmtId="0">
      <sharedItems containsSemiMixedTypes="0" containsString="0" containsNumber="1" containsInteger="1" minValue="90" maxValue="95"/>
    </cacheField>
    <cacheField name="A" numFmtId="0">
      <sharedItems containsSemiMixedTypes="0" containsString="0" containsNumber="1" containsInteger="1" minValue="80" maxValue="90"/>
    </cacheField>
    <cacheField name="E" numFmtId="0">
      <sharedItems containsSemiMixedTypes="0" containsString="0" containsNumber="1" containsInteger="1" minValue="75" maxValue="90"/>
    </cacheField>
    <cacheField name="C" numFmtId="0">
      <sharedItems containsSemiMixedTypes="0" containsString="0" containsNumber="1" containsInteger="1" minValue="70" maxValue="95"/>
    </cacheField>
    <cacheField name="D" numFmtId="0">
      <sharedItems containsSemiMixedTypes="0" containsString="0" containsNumber="1" containsInteger="1" minValue="70" maxValue="85"/>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5">
  <r>
    <x v="0"/>
    <x v="0"/>
    <x v="0"/>
    <x v="0"/>
  </r>
  <r>
    <x v="1"/>
    <x v="1"/>
    <x v="1"/>
    <x v="1"/>
  </r>
  <r>
    <x v="2"/>
    <x v="2"/>
    <x v="1"/>
    <x v="1"/>
  </r>
  <r>
    <x v="3"/>
    <x v="3"/>
    <x v="2"/>
    <x v="2"/>
  </r>
  <r>
    <x v="4"/>
    <x v="4"/>
    <x v="3"/>
    <x v="3"/>
  </r>
</pivotCacheRecords>
</file>

<file path=xl/pivotCache/pivotCacheRecords2.xml><?xml version="1.0" encoding="utf-8"?>
<pivotCacheRecords xmlns="http://schemas.openxmlformats.org/spreadsheetml/2006/main" xmlns:r="http://schemas.openxmlformats.org/officeDocument/2006/relationships" count="3">
  <r>
    <x v="0"/>
    <n v="90"/>
    <n v="80"/>
    <n v="75"/>
    <n v="95"/>
    <n v="70"/>
  </r>
  <r>
    <x v="1"/>
    <n v="95"/>
    <n v="90"/>
    <n v="90"/>
    <n v="70"/>
    <n v="85"/>
  </r>
  <r>
    <x v="2"/>
    <n v="95"/>
    <n v="85"/>
    <n v="85"/>
    <n v="75"/>
    <n v="8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1100-000001000000}" name="피벗 테이블4" cacheId="1"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9:N13" firstHeaderRow="0" firstDataRow="1" firstDataCol="1"/>
  <pivotFields count="6">
    <pivotField axis="axisRow" showAll="0">
      <items count="4">
        <item x="2"/>
        <item x="0"/>
        <item x="1"/>
        <item t="default"/>
      </items>
    </pivotField>
    <pivotField dataField="1" showAll="0"/>
    <pivotField dataField="1" showAll="0"/>
    <pivotField dataField="1" showAll="0"/>
    <pivotField dataField="1" showAll="0"/>
    <pivotField dataField="1" showAll="0"/>
  </pivotFields>
  <rowFields count="1">
    <field x="0"/>
  </rowFields>
  <rowItems count="4">
    <i>
      <x/>
    </i>
    <i>
      <x v="1"/>
    </i>
    <i>
      <x v="2"/>
    </i>
    <i t="grand">
      <x/>
    </i>
  </rowItems>
  <colFields count="1">
    <field x="-2"/>
  </colFields>
  <colItems count="5">
    <i>
      <x/>
    </i>
    <i i="1">
      <x v="1"/>
    </i>
    <i i="2">
      <x v="2"/>
    </i>
    <i i="3">
      <x v="3"/>
    </i>
    <i i="4">
      <x v="4"/>
    </i>
  </colItems>
  <dataFields count="5">
    <dataField name="평균 : B" fld="1" subtotal="average" baseField="0" baseItem="0"/>
    <dataField name="평균 : A" fld="2" subtotal="average" baseField="0" baseItem="0"/>
    <dataField name="평균 : E" fld="3" subtotal="average" baseField="0" baseItem="0"/>
    <dataField name="평균 : C" fld="4" subtotal="average" baseField="0" baseItem="0"/>
    <dataField name="평균 : D" fld="5" subtotal="average" baseField="0" baseItem="0"/>
  </dataFields>
  <formats count="1">
    <format dxfId="0">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1100-000000000000}" name="피벗 테이블1" cacheId="0"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1:L7" firstHeaderRow="0" firstDataRow="1" firstDataCol="1"/>
  <pivotFields count="4">
    <pivotField axis="axisRow" showAll="0">
      <items count="6">
        <item x="1"/>
        <item x="0"/>
        <item x="3"/>
        <item x="4"/>
        <item x="2"/>
        <item t="default"/>
      </items>
    </pivotField>
    <pivotField dataField="1" showAll="0">
      <items count="6">
        <item x="4"/>
        <item x="2"/>
        <item x="1"/>
        <item x="0"/>
        <item x="3"/>
        <item t="default"/>
      </items>
    </pivotField>
    <pivotField dataField="1" showAll="0">
      <items count="5">
        <item x="2"/>
        <item x="3"/>
        <item x="1"/>
        <item x="0"/>
        <item t="default"/>
      </items>
    </pivotField>
    <pivotField dataField="1" showAll="0">
      <items count="5">
        <item x="2"/>
        <item x="3"/>
        <item x="1"/>
        <item x="0"/>
        <item t="default"/>
      </items>
    </pivotField>
  </pivotFields>
  <rowFields count="1">
    <field x="0"/>
  </rowFields>
  <rowItems count="6">
    <i>
      <x/>
    </i>
    <i>
      <x v="1"/>
    </i>
    <i>
      <x v="2"/>
    </i>
    <i>
      <x v="3"/>
    </i>
    <i>
      <x v="4"/>
    </i>
    <i t="grand">
      <x/>
    </i>
  </rowItems>
  <colFields count="1">
    <field x="-2"/>
  </colFields>
  <colItems count="3">
    <i>
      <x/>
    </i>
    <i i="1">
      <x v="1"/>
    </i>
    <i i="2">
      <x v="2"/>
    </i>
  </colItems>
  <dataFields count="3">
    <dataField name="평균 : 국" fld="1" subtotal="average" baseField="0" baseItem="4"/>
    <dataField name="평균 : 영" fld="2" subtotal="average" baseField="0" baseItem="4"/>
    <dataField name="평균 : 수" fld="3" subtotal="average" baseField="0" baseItem="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8.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hyperlink" Target="https://docs.google.com/spreadsheets/d/1nlyKdyx8xhpQJmAEUT4eI7Z-f3-AOfBw/edit?gid=1130773706" TargetMode="Externa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9.xml.rels><?xml version="1.0" encoding="UTF-8" standalone="yes"?>
<Relationships xmlns="http://schemas.openxmlformats.org/package/2006/relationships"><Relationship Id="rId3" Type="http://schemas.openxmlformats.org/officeDocument/2006/relationships/drawing" Target="../drawings/drawing24.xml"/><Relationship Id="rId2" Type="http://schemas.openxmlformats.org/officeDocument/2006/relationships/hyperlink" Target="https://docs.google.com/presentation/d/152CP0pvLJegOV2EygvysYcfD5BZzlUxn49KKlDybyQ4/edit?slide=id.g317daab7ae2_1_1038" TargetMode="External"/><Relationship Id="rId1" Type="http://schemas.openxmlformats.org/officeDocument/2006/relationships/hyperlink" Target="https://docs.google.com/spreadsheets/d/1nlyKdyx8xhpQJmAEUT4eI7Z-f3-AOfBw/edit?gid=1130773706" TargetMode="External"/></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8.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9.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10.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11.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12.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13.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14.bin"/></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42.xml.rels><?xml version="1.0" encoding="UTF-8" standalone="yes"?>
<Relationships xmlns="http://schemas.openxmlformats.org/package/2006/relationships"><Relationship Id="rId3" Type="http://schemas.openxmlformats.org/officeDocument/2006/relationships/drawing" Target="../drawings/drawing35.xml"/><Relationship Id="rId2" Type="http://schemas.openxmlformats.org/officeDocument/2006/relationships/printerSettings" Target="../printerSettings/printerSettings16.bin"/><Relationship Id="rId1" Type="http://schemas.openxmlformats.org/officeDocument/2006/relationships/hyperlink" Target="https://www.mongodb.com/try/download/shell" TargetMode="Externa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17.bin"/></Relationships>
</file>

<file path=xl/worksheets/_rels/sheet51.xml.rels><?xml version="1.0" encoding="UTF-8" standalone="yes"?>
<Relationships xmlns="http://schemas.openxmlformats.org/package/2006/relationships"><Relationship Id="rId3" Type="http://schemas.openxmlformats.org/officeDocument/2006/relationships/drawing" Target="../drawings/drawing42.xml"/><Relationship Id="rId2" Type="http://schemas.openxmlformats.org/officeDocument/2006/relationships/hyperlink" Target="mailto:2*@" TargetMode="External"/><Relationship Id="rId1" Type="http://schemas.openxmlformats.org/officeDocument/2006/relationships/hyperlink" Target="mailto:2*@" TargetMode="External"/></Relationships>
</file>

<file path=xl/worksheets/_rels/sheet52.xml.rels><?xml version="1.0" encoding="UTF-8" standalone="yes"?>
<Relationships xmlns="http://schemas.openxmlformats.org/package/2006/relationships"><Relationship Id="rId3" Type="http://schemas.openxmlformats.org/officeDocument/2006/relationships/drawing" Target="../drawings/drawing43.xml"/><Relationship Id="rId2" Type="http://schemas.openxmlformats.org/officeDocument/2006/relationships/hyperlink" Target="https://word2vec.kr/search/" TargetMode="External"/><Relationship Id="rId1" Type="http://schemas.openxmlformats.org/officeDocument/2006/relationships/hyperlink" Target="https://docs.google.com/spreadsheets/d/1nlyKdyx8xhpQJmAEUT4eI7Z-f3-AOfBw/edit?gid=989060826" TargetMode="External"/></Relationships>
</file>

<file path=xl/worksheets/_rels/sheet53.xml.rels><?xml version="1.0" encoding="UTF-8" standalone="yes"?>
<Relationships xmlns="http://schemas.openxmlformats.org/package/2006/relationships"><Relationship Id="rId3" Type="http://schemas.openxmlformats.org/officeDocument/2006/relationships/drawing" Target="../drawings/drawing44.xml"/><Relationship Id="rId2" Type="http://schemas.openxmlformats.org/officeDocument/2006/relationships/hyperlink" Target="https://docs.google.com/presentation/d/17TJlciEnKGJkNC-0YzkQsonoju_VWOmp-t9Atu3vdzk/edit?slide=id.g31e6f597ad5_0_126" TargetMode="External"/><Relationship Id="rId1" Type="http://schemas.openxmlformats.org/officeDocument/2006/relationships/hyperlink" Target="https://docs.google.com/spreadsheets/d/1nlyKdyx8xhpQJmAEUT4eI7Z-f3-AOfBw/edit?gid=30312823" TargetMode="Externa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18.bin"/></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8.xml.rels><?xml version="1.0" encoding="UTF-8" standalone="yes"?>
<Relationships xmlns="http://schemas.openxmlformats.org/package/2006/relationships"><Relationship Id="rId2" Type="http://schemas.openxmlformats.org/officeDocument/2006/relationships/drawing" Target="../drawings/drawing49.xml"/><Relationship Id="rId1" Type="http://schemas.openxmlformats.org/officeDocument/2006/relationships/printerSettings" Target="../printerSettings/printerSettings19.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50.xml"/><Relationship Id="rId1" Type="http://schemas.openxmlformats.org/officeDocument/2006/relationships/printerSettings" Target="../printerSettings/printerSettings20.bin"/></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3.bin"/><Relationship Id="rId1" Type="http://schemas.openxmlformats.org/officeDocument/2006/relationships/hyperlink" Target="https://colab.research.google.com/drive/1bftNkhYWUaZJa0p-T1hfhgb8yycWZe5O" TargetMode="Externa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53.xml"/><Relationship Id="rId1" Type="http://schemas.openxmlformats.org/officeDocument/2006/relationships/printerSettings" Target="../printerSettings/printerSettings21.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54.xml"/><Relationship Id="rId1" Type="http://schemas.openxmlformats.org/officeDocument/2006/relationships/printerSettings" Target="../printerSettings/printerSettings22.bin"/></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65.xml.rels><?xml version="1.0" encoding="UTF-8" standalone="yes"?>
<Relationships xmlns="http://schemas.openxmlformats.org/package/2006/relationships"><Relationship Id="rId2" Type="http://schemas.openxmlformats.org/officeDocument/2006/relationships/printerSettings" Target="../printerSettings/printerSettings23.bin"/><Relationship Id="rId1" Type="http://schemas.openxmlformats.org/officeDocument/2006/relationships/hyperlink" Target="https://www.nvidia.com/en-us/geforce/graphics-cards/30-series/rtx-3060-3060ti/" TargetMode="Externa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57.xml"/><Relationship Id="rId1" Type="http://schemas.openxmlformats.org/officeDocument/2006/relationships/printerSettings" Target="../printerSettings/printerSettings24.bin"/></Relationships>
</file>

<file path=xl/worksheets/_rels/sheet68.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59.xml"/><Relationship Id="rId1" Type="http://schemas.openxmlformats.org/officeDocument/2006/relationships/printerSettings" Target="../printerSettings/printerSettings25.bin"/></Relationships>
</file>

<file path=xl/worksheets/_rels/sheet72.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75.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hyperlink" Target="https://colab.research.google.com/drive/1GZ-oRK0PcdVWosqBq57s6_Pj436xmsoD" TargetMode="Externa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64.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65.xml"/></Relationships>
</file>

<file path=xl/worksheets/_rels/sheet78.xml.rels><?xml version="1.0" encoding="UTF-8" standalone="yes"?>
<Relationships xmlns="http://schemas.openxmlformats.org/package/2006/relationships"><Relationship Id="rId2" Type="http://schemas.openxmlformats.org/officeDocument/2006/relationships/printerSettings" Target="../printerSettings/printerSettings26.bin"/><Relationship Id="rId1" Type="http://schemas.openxmlformats.org/officeDocument/2006/relationships/hyperlink" Target="https://docs.google.com/spreadsheets/d/1OvKrsbBkBurr-8FvG6_AMpeWo-9WRCFGb_OhT8kzJ9M/edit?gid=1733448381" TargetMode="External"/></Relationships>
</file>

<file path=xl/worksheets/_rels/sheet79.xml.rels><?xml version="1.0" encoding="UTF-8" standalone="yes"?>
<Relationships xmlns="http://schemas.openxmlformats.org/package/2006/relationships"><Relationship Id="rId2" Type="http://schemas.openxmlformats.org/officeDocument/2006/relationships/drawing" Target="../drawings/drawing66.xml"/><Relationship Id="rId1" Type="http://schemas.openxmlformats.org/officeDocument/2006/relationships/printerSettings" Target="../printerSettings/printerSettings2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80.xml.rels><?xml version="1.0" encoding="UTF-8" standalone="yes"?>
<Relationships xmlns="http://schemas.openxmlformats.org/package/2006/relationships"><Relationship Id="rId2" Type="http://schemas.openxmlformats.org/officeDocument/2006/relationships/drawing" Target="../drawings/drawing67.xml"/><Relationship Id="rId1" Type="http://schemas.openxmlformats.org/officeDocument/2006/relationships/printerSettings" Target="../printerSettings/printerSettings2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H300"/>
  <sheetViews>
    <sheetView topLeftCell="M22" zoomScaleNormal="100" workbookViewId="0">
      <selection activeCell="AH4" sqref="AH4"/>
    </sheetView>
  </sheetViews>
  <sheetFormatPr defaultRowHeight="16.5"/>
  <cols>
    <col min="1" max="1" width="20.75" customWidth="1"/>
    <col min="2" max="2" width="13.125" bestFit="1" customWidth="1"/>
    <col min="4" max="4" width="26.875" customWidth="1"/>
    <col min="5" max="5" width="25.5" bestFit="1" customWidth="1"/>
    <col min="6" max="6" width="13.375" customWidth="1"/>
    <col min="7" max="7" width="14.125" customWidth="1"/>
    <col min="9" max="9" width="8" customWidth="1"/>
    <col min="15" max="15" width="15.125" customWidth="1"/>
    <col min="17" max="17" width="6.25" customWidth="1"/>
    <col min="18" max="19" width="3.625" customWidth="1"/>
    <col min="20" max="20" width="11.625" bestFit="1" customWidth="1"/>
    <col min="21" max="23" width="3.625" customWidth="1"/>
    <col min="24" max="24" width="18.5" customWidth="1"/>
    <col min="25" max="31" width="3.375" customWidth="1"/>
    <col min="32" max="32" width="6" customWidth="1"/>
  </cols>
  <sheetData>
    <row r="2" spans="5:34">
      <c r="AH2" t="s">
        <v>1478</v>
      </c>
    </row>
    <row r="4" spans="5:34">
      <c r="P4" t="s">
        <v>1477</v>
      </c>
      <c r="R4" t="s">
        <v>1476</v>
      </c>
      <c r="T4">
        <f>2^8</f>
        <v>256</v>
      </c>
      <c r="X4">
        <f>-128</f>
        <v>-128</v>
      </c>
      <c r="AB4">
        <v>0</v>
      </c>
      <c r="AF4">
        <v>127</v>
      </c>
      <c r="AH4" s="1" t="s">
        <v>1479</v>
      </c>
    </row>
    <row r="6" spans="5:34">
      <c r="P6" t="s">
        <v>1475</v>
      </c>
      <c r="T6">
        <f>2^32</f>
        <v>4294967296</v>
      </c>
      <c r="X6">
        <f>-T6/2</f>
        <v>-2147483648</v>
      </c>
    </row>
    <row r="7" spans="5:34">
      <c r="X7">
        <f>T6/2 - 1</f>
        <v>2147483647</v>
      </c>
    </row>
    <row r="8" spans="5:34">
      <c r="E8" t="s">
        <v>1126</v>
      </c>
    </row>
    <row r="12" spans="5:34">
      <c r="E12" t="s">
        <v>1127</v>
      </c>
      <c r="H12" s="278" t="s">
        <v>1130</v>
      </c>
    </row>
    <row r="13" spans="5:34">
      <c r="F13" t="s">
        <v>1128</v>
      </c>
      <c r="H13" s="278" t="s">
        <v>1129</v>
      </c>
      <c r="I13" s="278" t="s">
        <v>1129</v>
      </c>
      <c r="J13" s="278" t="s">
        <v>1129</v>
      </c>
      <c r="K13" s="278" t="s">
        <v>1129</v>
      </c>
      <c r="L13" s="278" t="s">
        <v>1129</v>
      </c>
      <c r="M13" s="278" t="s">
        <v>1129</v>
      </c>
      <c r="N13" s="278" t="s">
        <v>1129</v>
      </c>
      <c r="O13" s="278" t="s">
        <v>1129</v>
      </c>
      <c r="Q13" s="278" t="s">
        <v>1133</v>
      </c>
    </row>
    <row r="14" spans="5:34" ht="17.25" thickBot="1">
      <c r="Q14" t="s">
        <v>1150</v>
      </c>
    </row>
    <row r="15" spans="5:34" ht="17.25" thickBot="1">
      <c r="I15" s="96" t="s">
        <v>1131</v>
      </c>
      <c r="J15" s="9">
        <v>0</v>
      </c>
      <c r="Q15" t="s">
        <v>1151</v>
      </c>
    </row>
    <row r="16" spans="5:34" ht="17.25" thickBot="1">
      <c r="I16" s="96" t="s">
        <v>1132</v>
      </c>
      <c r="J16" s="9">
        <v>1</v>
      </c>
      <c r="Q16" t="s">
        <v>1152</v>
      </c>
    </row>
    <row r="17" spans="5:32">
      <c r="Q17" t="s">
        <v>1153</v>
      </c>
      <c r="U17" t="s">
        <v>1158</v>
      </c>
    </row>
    <row r="18" spans="5:32" ht="17.25" thickBot="1">
      <c r="Q18" t="s">
        <v>1154</v>
      </c>
    </row>
    <row r="19" spans="5:32" ht="17.25" thickBot="1">
      <c r="E19" t="s">
        <v>1143</v>
      </c>
      <c r="F19" t="s">
        <v>1139</v>
      </c>
      <c r="M19" s="7" t="s">
        <v>1138</v>
      </c>
      <c r="N19" s="7" t="s">
        <v>1134</v>
      </c>
      <c r="Q19" t="s">
        <v>1155</v>
      </c>
    </row>
    <row r="20" spans="5:32" ht="17.25" thickBot="1">
      <c r="F20">
        <v>200</v>
      </c>
      <c r="H20" t="s">
        <v>1135</v>
      </c>
      <c r="I20" t="s">
        <v>1142</v>
      </c>
      <c r="M20" s="9">
        <v>0</v>
      </c>
      <c r="N20" s="9">
        <v>0</v>
      </c>
      <c r="Q20" t="s">
        <v>1156</v>
      </c>
    </row>
    <row r="21" spans="5:32" ht="17.25" thickBot="1">
      <c r="H21" t="s">
        <v>1136</v>
      </c>
      <c r="I21" t="s">
        <v>1141</v>
      </c>
      <c r="M21" s="9">
        <v>1</v>
      </c>
      <c r="N21" s="9">
        <v>1</v>
      </c>
      <c r="Q21" t="s">
        <v>1157</v>
      </c>
    </row>
    <row r="22" spans="5:32" ht="17.25" thickBot="1">
      <c r="H22" t="s">
        <v>1137</v>
      </c>
      <c r="I22" t="s">
        <v>1140</v>
      </c>
      <c r="M22" s="9">
        <v>2</v>
      </c>
      <c r="N22" s="9">
        <v>10</v>
      </c>
      <c r="Q22">
        <v>0</v>
      </c>
      <c r="R22">
        <v>1</v>
      </c>
      <c r="S22">
        <v>2</v>
      </c>
      <c r="T22">
        <v>3</v>
      </c>
      <c r="U22">
        <v>4</v>
      </c>
      <c r="V22">
        <v>5</v>
      </c>
      <c r="W22">
        <v>6</v>
      </c>
      <c r="X22">
        <v>7</v>
      </c>
      <c r="Y22">
        <v>8</v>
      </c>
      <c r="Z22">
        <v>9</v>
      </c>
      <c r="AA22">
        <v>10</v>
      </c>
      <c r="AB22">
        <v>11</v>
      </c>
      <c r="AC22">
        <v>12</v>
      </c>
      <c r="AD22">
        <v>13</v>
      </c>
      <c r="AE22">
        <v>14</v>
      </c>
      <c r="AF22">
        <v>15</v>
      </c>
    </row>
    <row r="23" spans="5:32" ht="17.25" thickBot="1">
      <c r="M23" s="9">
        <v>3</v>
      </c>
      <c r="N23" s="9">
        <v>11</v>
      </c>
      <c r="AA23" t="s">
        <v>1144</v>
      </c>
      <c r="AB23" t="s">
        <v>1145</v>
      </c>
      <c r="AC23" t="s">
        <v>541</v>
      </c>
      <c r="AD23" t="s">
        <v>1146</v>
      </c>
      <c r="AE23" t="s">
        <v>1147</v>
      </c>
      <c r="AF23" t="s">
        <v>1148</v>
      </c>
    </row>
    <row r="24" spans="5:32" ht="17.25" thickBot="1">
      <c r="M24" s="9">
        <v>4</v>
      </c>
      <c r="N24" s="9">
        <v>100</v>
      </c>
    </row>
    <row r="26" spans="5:32" ht="17.25" thickBot="1">
      <c r="H26" s="280"/>
      <c r="J26" s="280"/>
      <c r="L26" s="280"/>
      <c r="N26" s="280"/>
    </row>
    <row r="27" spans="5:32" ht="17.25" thickBot="1">
      <c r="H27" s="9">
        <v>7</v>
      </c>
      <c r="I27" s="9">
        <v>6</v>
      </c>
      <c r="J27" s="9">
        <v>5</v>
      </c>
      <c r="K27" s="9">
        <v>4</v>
      </c>
      <c r="L27" s="9">
        <v>3</v>
      </c>
      <c r="M27" s="9">
        <v>2</v>
      </c>
      <c r="N27" s="9">
        <v>1</v>
      </c>
      <c r="O27" s="9">
        <v>0</v>
      </c>
    </row>
    <row r="28" spans="5:32">
      <c r="F28">
        <v>200</v>
      </c>
      <c r="H28">
        <f t="shared" ref="H28:N28" si="0">2^H27</f>
        <v>128</v>
      </c>
      <c r="I28">
        <f t="shared" si="0"/>
        <v>64</v>
      </c>
      <c r="J28">
        <f t="shared" si="0"/>
        <v>32</v>
      </c>
      <c r="K28">
        <f t="shared" si="0"/>
        <v>16</v>
      </c>
      <c r="L28">
        <f t="shared" si="0"/>
        <v>8</v>
      </c>
      <c r="M28">
        <f t="shared" si="0"/>
        <v>4</v>
      </c>
      <c r="N28">
        <f t="shared" si="0"/>
        <v>2</v>
      </c>
      <c r="O28">
        <f>2^O27</f>
        <v>1</v>
      </c>
    </row>
    <row r="29" spans="5:32">
      <c r="G29" s="186">
        <v>0</v>
      </c>
      <c r="H29" s="186">
        <v>1</v>
      </c>
      <c r="I29" s="186">
        <v>1</v>
      </c>
      <c r="J29" s="207">
        <v>0</v>
      </c>
      <c r="K29" s="207">
        <v>0</v>
      </c>
      <c r="L29" s="207">
        <v>1</v>
      </c>
      <c r="M29" s="281">
        <v>0</v>
      </c>
      <c r="N29" s="281">
        <v>0</v>
      </c>
      <c r="O29" s="281">
        <v>0</v>
      </c>
    </row>
    <row r="32" spans="5:32">
      <c r="G32" s="516">
        <v>3</v>
      </c>
      <c r="H32" s="516"/>
      <c r="I32" s="516"/>
      <c r="J32" s="516">
        <v>1</v>
      </c>
      <c r="K32" s="516"/>
      <c r="L32" s="516"/>
      <c r="M32" s="516">
        <v>0</v>
      </c>
      <c r="N32" s="516"/>
      <c r="O32" s="516"/>
    </row>
    <row r="33" spans="2:26">
      <c r="F33" s="208"/>
    </row>
    <row r="35" spans="2:26">
      <c r="G35" s="119"/>
      <c r="H35" s="161">
        <v>1</v>
      </c>
      <c r="I35" s="161">
        <v>1</v>
      </c>
      <c r="J35" s="161">
        <v>0</v>
      </c>
      <c r="K35" s="161">
        <v>0</v>
      </c>
      <c r="L35" s="209">
        <v>1</v>
      </c>
      <c r="M35" s="209">
        <v>0</v>
      </c>
      <c r="N35" s="209">
        <v>0</v>
      </c>
      <c r="O35" s="209">
        <v>0</v>
      </c>
    </row>
    <row r="36" spans="2:26">
      <c r="H36" s="516" t="s">
        <v>541</v>
      </c>
      <c r="I36" s="516"/>
      <c r="J36" s="516"/>
      <c r="K36" s="516"/>
      <c r="L36" s="516">
        <v>8</v>
      </c>
      <c r="M36" s="516"/>
      <c r="N36" s="516"/>
      <c r="O36" s="516"/>
    </row>
    <row r="38" spans="2:26">
      <c r="F38">
        <v>177</v>
      </c>
      <c r="H38" t="s">
        <v>1135</v>
      </c>
    </row>
    <row r="39" spans="2:26">
      <c r="H39" t="s">
        <v>1149</v>
      </c>
    </row>
    <row r="40" spans="2:26">
      <c r="H40" t="s">
        <v>1137</v>
      </c>
    </row>
    <row r="44" spans="2:26" s="1" customFormat="1">
      <c r="F44" s="28" t="s">
        <v>1159</v>
      </c>
      <c r="L44" s="1" t="s">
        <v>1160</v>
      </c>
      <c r="U44" s="1" t="s">
        <v>1161</v>
      </c>
      <c r="Z44" s="1" t="s">
        <v>1182</v>
      </c>
    </row>
    <row r="45" spans="2:26">
      <c r="B45" t="s">
        <v>1164</v>
      </c>
      <c r="Z45" t="s">
        <v>1181</v>
      </c>
    </row>
    <row r="46" spans="2:26">
      <c r="B46" t="s">
        <v>1163</v>
      </c>
      <c r="F46" s="278" t="s">
        <v>1162</v>
      </c>
    </row>
    <row r="49" spans="6:21">
      <c r="F49" t="s">
        <v>1165</v>
      </c>
      <c r="G49" t="s">
        <v>1166</v>
      </c>
    </row>
    <row r="50" spans="6:21">
      <c r="G50" t="s">
        <v>1169</v>
      </c>
      <c r="I50" t="s">
        <v>1170</v>
      </c>
    </row>
    <row r="51" spans="6:21">
      <c r="F51" t="s">
        <v>1171</v>
      </c>
      <c r="G51" t="s">
        <v>1167</v>
      </c>
      <c r="I51" t="s">
        <v>1168</v>
      </c>
      <c r="O51" t="s">
        <v>1175</v>
      </c>
      <c r="S51" t="s">
        <v>1180</v>
      </c>
      <c r="U51" t="s">
        <v>1179</v>
      </c>
    </row>
    <row r="52" spans="6:21">
      <c r="F52" t="s">
        <v>1184</v>
      </c>
      <c r="L52" t="s">
        <v>1173</v>
      </c>
      <c r="U52" t="s">
        <v>1178</v>
      </c>
    </row>
    <row r="53" spans="6:21">
      <c r="F53" s="2" t="s">
        <v>1185</v>
      </c>
      <c r="J53" t="s">
        <v>1172</v>
      </c>
      <c r="K53" s="133"/>
      <c r="L53" s="133"/>
      <c r="M53" s="133"/>
      <c r="O53" t="s">
        <v>1174</v>
      </c>
    </row>
    <row r="55" spans="6:21">
      <c r="L55" t="s">
        <v>1177</v>
      </c>
    </row>
    <row r="56" spans="6:21">
      <c r="K56" s="133"/>
      <c r="L56" s="133"/>
      <c r="M56" s="133"/>
      <c r="O56" t="s">
        <v>1176</v>
      </c>
    </row>
    <row r="59" spans="6:21">
      <c r="G59" t="s">
        <v>1183</v>
      </c>
    </row>
    <row r="60" spans="6:21">
      <c r="G60" t="s">
        <v>1186</v>
      </c>
    </row>
    <row r="62" spans="6:21">
      <c r="F62" t="s">
        <v>1187</v>
      </c>
    </row>
    <row r="63" spans="6:21">
      <c r="H63" t="s">
        <v>1188</v>
      </c>
      <c r="I63" t="s">
        <v>1029</v>
      </c>
      <c r="J63" t="s">
        <v>1191</v>
      </c>
    </row>
    <row r="64" spans="6:21">
      <c r="I64" t="s">
        <v>1189</v>
      </c>
      <c r="J64" t="s">
        <v>1190</v>
      </c>
    </row>
    <row r="66" spans="5:9">
      <c r="F66" t="s">
        <v>1192</v>
      </c>
    </row>
    <row r="67" spans="5:9">
      <c r="F67" t="s">
        <v>1194</v>
      </c>
      <c r="H67" t="s">
        <v>1195</v>
      </c>
    </row>
    <row r="68" spans="5:9">
      <c r="F68" t="s">
        <v>1193</v>
      </c>
      <c r="H68" t="s">
        <v>1196</v>
      </c>
    </row>
    <row r="71" spans="5:9" s="1" customFormat="1">
      <c r="F71" s="1" t="s">
        <v>1197</v>
      </c>
      <c r="G71" s="1" t="s">
        <v>1198</v>
      </c>
    </row>
    <row r="73" spans="5:9">
      <c r="F73" t="s">
        <v>1199</v>
      </c>
    </row>
    <row r="77" spans="5:9" s="1" customFormat="1">
      <c r="E77" s="1" t="s">
        <v>1204</v>
      </c>
      <c r="F77" s="1" t="s">
        <v>1203</v>
      </c>
    </row>
    <row r="78" spans="5:9">
      <c r="F78" t="s">
        <v>1200</v>
      </c>
      <c r="H78" t="s">
        <v>1201</v>
      </c>
      <c r="I78" t="s">
        <v>1202</v>
      </c>
    </row>
    <row r="81" spans="5:7" s="1" customFormat="1">
      <c r="E81" s="1" t="s">
        <v>1205</v>
      </c>
    </row>
    <row r="83" spans="5:7">
      <c r="E83" t="s">
        <v>1226</v>
      </c>
      <c r="G83" t="s">
        <v>1206</v>
      </c>
    </row>
    <row r="84" spans="5:7">
      <c r="G84" t="s">
        <v>1239</v>
      </c>
    </row>
    <row r="88" spans="5:7" s="1" customFormat="1">
      <c r="E88" s="1" t="s">
        <v>1207</v>
      </c>
    </row>
    <row r="90" spans="5:7">
      <c r="G90" t="s">
        <v>1211</v>
      </c>
    </row>
    <row r="91" spans="5:7">
      <c r="G91" t="s">
        <v>1210</v>
      </c>
    </row>
    <row r="92" spans="5:7">
      <c r="E92" s="278" t="s">
        <v>1208</v>
      </c>
      <c r="F92" s="278" t="s">
        <v>1209</v>
      </c>
    </row>
    <row r="93" spans="5:7">
      <c r="E93" s="517" t="s">
        <v>1285</v>
      </c>
      <c r="F93" s="516"/>
    </row>
    <row r="94" spans="5:7">
      <c r="E94" s="516"/>
      <c r="F94" s="516"/>
    </row>
    <row r="95" spans="5:7">
      <c r="E95" s="516"/>
      <c r="F95" s="516"/>
    </row>
    <row r="99" spans="2:8">
      <c r="E99" s="1"/>
    </row>
    <row r="100" spans="2:8">
      <c r="E100" s="1"/>
    </row>
    <row r="101" spans="2:8">
      <c r="B101" s="282"/>
      <c r="E101" s="1"/>
    </row>
    <row r="102" spans="2:8">
      <c r="B102" s="282"/>
      <c r="E102" s="1"/>
    </row>
    <row r="103" spans="2:8">
      <c r="B103" s="282"/>
      <c r="E103" s="1"/>
    </row>
    <row r="104" spans="2:8">
      <c r="B104" s="282"/>
      <c r="E104" s="278">
        <v>5</v>
      </c>
      <c r="G104" s="2" t="s">
        <v>1212</v>
      </c>
      <c r="H104" t="s">
        <v>1213</v>
      </c>
    </row>
    <row r="105" spans="2:8">
      <c r="B105" s="282"/>
      <c r="E105" s="1"/>
    </row>
    <row r="106" spans="2:8">
      <c r="B106" s="283" t="s">
        <v>1214</v>
      </c>
      <c r="E106" s="1"/>
    </row>
    <row r="107" spans="2:8">
      <c r="B107" s="282"/>
      <c r="C107" t="s">
        <v>1215</v>
      </c>
      <c r="E107" s="1"/>
    </row>
    <row r="108" spans="2:8">
      <c r="B108" s="282"/>
      <c r="E108" s="1"/>
    </row>
    <row r="109" spans="2:8">
      <c r="B109" s="284" t="s">
        <v>1217</v>
      </c>
      <c r="C109" t="s">
        <v>1216</v>
      </c>
    </row>
    <row r="112" spans="2:8">
      <c r="D112" t="s">
        <v>1218</v>
      </c>
      <c r="F112" t="s">
        <v>1222</v>
      </c>
    </row>
    <row r="113" spans="2:12">
      <c r="D113" t="s">
        <v>1219</v>
      </c>
      <c r="F113" t="s">
        <v>1223</v>
      </c>
    </row>
    <row r="114" spans="2:12">
      <c r="D114" t="s">
        <v>1220</v>
      </c>
      <c r="F114" t="s">
        <v>1224</v>
      </c>
    </row>
    <row r="115" spans="2:12">
      <c r="D115" t="s">
        <v>1221</v>
      </c>
      <c r="F115" t="s">
        <v>1225</v>
      </c>
    </row>
    <row r="118" spans="2:12" s="1" customFormat="1">
      <c r="C118" s="1" t="s">
        <v>1227</v>
      </c>
    </row>
    <row r="119" spans="2:12">
      <c r="E119" t="s">
        <v>1253</v>
      </c>
      <c r="K119" t="s">
        <v>1233</v>
      </c>
      <c r="L119" t="s">
        <v>1176</v>
      </c>
    </row>
    <row r="120" spans="2:12">
      <c r="B120" t="s">
        <v>1235</v>
      </c>
      <c r="D120" s="3" t="s">
        <v>1228</v>
      </c>
      <c r="E120" s="158" t="s">
        <v>1236</v>
      </c>
    </row>
    <row r="121" spans="2:12">
      <c r="D121" s="158" t="s">
        <v>1229</v>
      </c>
      <c r="E121" s="158" t="s">
        <v>1234</v>
      </c>
      <c r="F121" t="s">
        <v>1231</v>
      </c>
      <c r="H121" t="s">
        <v>1232</v>
      </c>
    </row>
    <row r="122" spans="2:12">
      <c r="D122" s="158" t="s">
        <v>1230</v>
      </c>
      <c r="E122" s="158" t="s">
        <v>1237</v>
      </c>
      <c r="H122" t="s">
        <v>1238</v>
      </c>
    </row>
    <row r="123" spans="2:12">
      <c r="D123" s="158" t="s">
        <v>1254</v>
      </c>
      <c r="E123" s="285" t="s">
        <v>1255</v>
      </c>
    </row>
    <row r="125" spans="2:12" s="1" customFormat="1">
      <c r="C125" s="1" t="s">
        <v>1240</v>
      </c>
      <c r="E125" s="1" t="s">
        <v>1242</v>
      </c>
      <c r="F125" s="1" t="s">
        <v>1243</v>
      </c>
    </row>
    <row r="126" spans="2:12">
      <c r="D126" t="s">
        <v>1241</v>
      </c>
    </row>
    <row r="130" spans="3:12" s="1" customFormat="1">
      <c r="C130" s="1" t="s">
        <v>1244</v>
      </c>
    </row>
    <row r="131" spans="3:12">
      <c r="J131" t="s">
        <v>1249</v>
      </c>
      <c r="K131" t="s">
        <v>1250</v>
      </c>
      <c r="L131">
        <v>0</v>
      </c>
    </row>
    <row r="132" spans="3:12">
      <c r="D132" t="s">
        <v>1245</v>
      </c>
      <c r="E132" t="s">
        <v>1246</v>
      </c>
    </row>
    <row r="133" spans="3:12">
      <c r="E133" t="s">
        <v>1247</v>
      </c>
      <c r="G133" t="s">
        <v>1251</v>
      </c>
      <c r="H133" t="s">
        <v>1252</v>
      </c>
    </row>
    <row r="134" spans="3:12">
      <c r="E134" t="s">
        <v>1248</v>
      </c>
      <c r="G134" t="s">
        <v>1286</v>
      </c>
      <c r="H134" t="s">
        <v>1287</v>
      </c>
    </row>
    <row r="135" spans="3:12">
      <c r="G135" t="s">
        <v>1288</v>
      </c>
      <c r="H135" t="s">
        <v>1289</v>
      </c>
    </row>
    <row r="138" spans="3:12">
      <c r="C138" t="s">
        <v>1256</v>
      </c>
      <c r="D138" t="s">
        <v>1257</v>
      </c>
    </row>
    <row r="141" spans="3:12" s="1" customFormat="1">
      <c r="C141" s="1" t="s">
        <v>1258</v>
      </c>
    </row>
    <row r="146" spans="12:13">
      <c r="L146" t="s">
        <v>1259</v>
      </c>
      <c r="M146">
        <v>65</v>
      </c>
    </row>
    <row r="147" spans="12:13">
      <c r="L147" t="s">
        <v>1260</v>
      </c>
      <c r="M147">
        <v>97</v>
      </c>
    </row>
    <row r="169" spans="3:3" s="1" customFormat="1">
      <c r="C169" s="1" t="s">
        <v>1261</v>
      </c>
    </row>
    <row r="171" spans="3:3">
      <c r="C171" t="s">
        <v>1262</v>
      </c>
    </row>
    <row r="173" spans="3:3">
      <c r="C173" t="s">
        <v>1264</v>
      </c>
    </row>
    <row r="175" spans="3:3">
      <c r="C175" t="s">
        <v>1263</v>
      </c>
    </row>
    <row r="178" spans="2:6">
      <c r="F178" s="1"/>
    </row>
    <row r="179" spans="2:6">
      <c r="F179" s="286">
        <v>7</v>
      </c>
    </row>
    <row r="180" spans="2:6">
      <c r="F180" s="1"/>
    </row>
    <row r="181" spans="2:6">
      <c r="F181" s="1"/>
    </row>
    <row r="182" spans="2:6">
      <c r="D182" t="s">
        <v>1265</v>
      </c>
      <c r="F182" s="1"/>
    </row>
    <row r="183" spans="2:6">
      <c r="F183" s="1"/>
    </row>
    <row r="184" spans="2:6">
      <c r="F184" s="28">
        <v>8</v>
      </c>
    </row>
    <row r="185" spans="2:6">
      <c r="F185" s="1"/>
    </row>
    <row r="186" spans="2:6">
      <c r="D186" s="2"/>
      <c r="F186" s="1"/>
    </row>
    <row r="187" spans="2:6">
      <c r="B187" s="279" t="s">
        <v>1281</v>
      </c>
      <c r="C187" s="16" t="s">
        <v>1266</v>
      </c>
      <c r="F187" s="1"/>
    </row>
    <row r="188" spans="2:6">
      <c r="F188" s="1"/>
    </row>
    <row r="189" spans="2:6">
      <c r="B189" s="279" t="s">
        <v>1281</v>
      </c>
      <c r="C189" s="16" t="s">
        <v>1283</v>
      </c>
      <c r="D189" s="2" t="s">
        <v>1282</v>
      </c>
      <c r="F189" s="1"/>
    </row>
    <row r="190" spans="2:6">
      <c r="F190" s="1"/>
    </row>
    <row r="191" spans="2:6">
      <c r="C191" t="s">
        <v>1267</v>
      </c>
      <c r="D191" t="s">
        <v>1268</v>
      </c>
      <c r="F191" s="1"/>
    </row>
    <row r="192" spans="2:6">
      <c r="D192" t="s">
        <v>1269</v>
      </c>
      <c r="F192" s="1"/>
    </row>
    <row r="193" spans="3:7">
      <c r="F193" s="1"/>
    </row>
    <row r="194" spans="3:7">
      <c r="F194" s="1"/>
    </row>
    <row r="195" spans="3:7">
      <c r="C195" t="s">
        <v>1270</v>
      </c>
      <c r="D195" t="s">
        <v>1271</v>
      </c>
      <c r="E195" t="s">
        <v>1279</v>
      </c>
      <c r="F195" t="s">
        <v>1273</v>
      </c>
      <c r="G195" t="s">
        <v>1274</v>
      </c>
    </row>
    <row r="196" spans="3:7">
      <c r="E196" t="s">
        <v>1276</v>
      </c>
    </row>
    <row r="197" spans="3:7">
      <c r="F197" t="s">
        <v>1275</v>
      </c>
    </row>
    <row r="199" spans="3:7">
      <c r="C199" t="s">
        <v>1277</v>
      </c>
      <c r="D199" t="s">
        <v>1278</v>
      </c>
      <c r="E199" t="s">
        <v>1272</v>
      </c>
      <c r="F199" t="s">
        <v>1280</v>
      </c>
    </row>
    <row r="202" spans="3:7" s="1" customFormat="1">
      <c r="C202" s="1" t="s">
        <v>1284</v>
      </c>
    </row>
    <row r="203" spans="3:7">
      <c r="C203" t="s">
        <v>1290</v>
      </c>
    </row>
    <row r="206" spans="3:7">
      <c r="C206" t="s">
        <v>1291</v>
      </c>
    </row>
    <row r="207" spans="3:7">
      <c r="C207" t="s">
        <v>1292</v>
      </c>
    </row>
    <row r="210" spans="3:5">
      <c r="C210" t="s">
        <v>1293</v>
      </c>
    </row>
    <row r="211" spans="3:5">
      <c r="C211" t="s">
        <v>1294</v>
      </c>
    </row>
    <row r="212" spans="3:5">
      <c r="C212" t="s">
        <v>1294</v>
      </c>
    </row>
    <row r="213" spans="3:5">
      <c r="C213" t="s">
        <v>1295</v>
      </c>
    </row>
    <row r="216" spans="3:5">
      <c r="C216" t="s">
        <v>1296</v>
      </c>
    </row>
    <row r="217" spans="3:5">
      <c r="E217" t="s">
        <v>1298</v>
      </c>
    </row>
    <row r="219" spans="3:5">
      <c r="C219" t="s">
        <v>1297</v>
      </c>
    </row>
    <row r="224" spans="3:5" s="1" customFormat="1">
      <c r="C224" s="1" t="s">
        <v>1400</v>
      </c>
    </row>
    <row r="231" spans="1:7" s="1" customFormat="1">
      <c r="C231" s="1" t="s">
        <v>1401</v>
      </c>
      <c r="E231" s="1" t="s">
        <v>1402</v>
      </c>
    </row>
    <row r="233" spans="1:7">
      <c r="D233" t="s">
        <v>1403</v>
      </c>
    </row>
    <row r="234" spans="1:7">
      <c r="E234" t="s">
        <v>1404</v>
      </c>
      <c r="F234" t="s">
        <v>1405</v>
      </c>
      <c r="G234" t="s">
        <v>1406</v>
      </c>
    </row>
    <row r="235" spans="1:7">
      <c r="F235" t="s">
        <v>1407</v>
      </c>
    </row>
    <row r="236" spans="1:7">
      <c r="F236" t="s">
        <v>1408</v>
      </c>
    </row>
    <row r="237" spans="1:7">
      <c r="A237" t="s">
        <v>1423</v>
      </c>
    </row>
    <row r="239" spans="1:7">
      <c r="B239" t="s">
        <v>1420</v>
      </c>
      <c r="C239" t="s">
        <v>1412</v>
      </c>
      <c r="G239" t="s">
        <v>1413</v>
      </c>
    </row>
    <row r="240" spans="1:7" s="1" customFormat="1">
      <c r="A240" s="1" t="s">
        <v>1424</v>
      </c>
      <c r="C240" s="1" t="s">
        <v>1409</v>
      </c>
      <c r="E240" s="1" t="s">
        <v>1410</v>
      </c>
      <c r="G240" s="1" t="s">
        <v>1414</v>
      </c>
    </row>
    <row r="241" spans="1:8">
      <c r="C241" t="s">
        <v>1411</v>
      </c>
      <c r="D241" t="s">
        <v>1417</v>
      </c>
      <c r="G241" t="s">
        <v>1429</v>
      </c>
      <c r="H241" t="s">
        <v>1415</v>
      </c>
    </row>
    <row r="242" spans="1:8">
      <c r="A242" t="s">
        <v>1425</v>
      </c>
      <c r="D242" t="s">
        <v>1422</v>
      </c>
      <c r="E242" t="s">
        <v>1418</v>
      </c>
      <c r="H242" t="s">
        <v>1416</v>
      </c>
    </row>
    <row r="243" spans="1:8">
      <c r="D243" t="s">
        <v>1421</v>
      </c>
      <c r="E243" t="s">
        <v>1419</v>
      </c>
    </row>
    <row r="246" spans="1:8">
      <c r="A246" t="s">
        <v>1426</v>
      </c>
    </row>
    <row r="247" spans="1:8">
      <c r="A247" t="s">
        <v>1427</v>
      </c>
    </row>
    <row r="248" spans="1:8">
      <c r="A248" t="s">
        <v>1428</v>
      </c>
      <c r="D248" t="s">
        <v>1430</v>
      </c>
    </row>
    <row r="249" spans="1:8">
      <c r="D249" t="s">
        <v>1432</v>
      </c>
      <c r="E249" t="s">
        <v>1431</v>
      </c>
    </row>
    <row r="250" spans="1:8">
      <c r="E250" s="516" t="s">
        <v>1435</v>
      </c>
      <c r="F250" s="516"/>
    </row>
    <row r="253" spans="1:8">
      <c r="B253" s="1"/>
    </row>
    <row r="254" spans="1:8">
      <c r="B254" s="1"/>
    </row>
    <row r="255" spans="1:8">
      <c r="B255" s="1"/>
    </row>
    <row r="256" spans="1:8">
      <c r="B256" s="1"/>
    </row>
    <row r="257" spans="2:2">
      <c r="B257" s="1"/>
    </row>
    <row r="258" spans="2:2">
      <c r="B258" s="1" t="s">
        <v>1436</v>
      </c>
    </row>
    <row r="259" spans="2:2">
      <c r="B259" s="1"/>
    </row>
    <row r="260" spans="2:2">
      <c r="B260" s="1"/>
    </row>
    <row r="261" spans="2:2">
      <c r="B261" s="1"/>
    </row>
    <row r="262" spans="2:2">
      <c r="B262" s="1"/>
    </row>
    <row r="265" spans="2:2" s="1" customFormat="1">
      <c r="B265" s="1" t="s">
        <v>1433</v>
      </c>
    </row>
    <row r="267" spans="2:2" ht="31.5">
      <c r="B267" s="295" t="s">
        <v>1434</v>
      </c>
    </row>
    <row r="285" spans="1:2" s="1" customFormat="1">
      <c r="B285" s="1" t="s">
        <v>1437</v>
      </c>
    </row>
    <row r="287" spans="1:2">
      <c r="A287" t="s">
        <v>1440</v>
      </c>
      <c r="B287" t="s">
        <v>1438</v>
      </c>
    </row>
    <row r="289" spans="1:4">
      <c r="B289" t="s">
        <v>1439</v>
      </c>
      <c r="D289" t="s">
        <v>1441</v>
      </c>
    </row>
    <row r="294" spans="1:4">
      <c r="A294" t="s">
        <v>1442</v>
      </c>
      <c r="B294" t="s">
        <v>1443</v>
      </c>
    </row>
    <row r="296" spans="1:4">
      <c r="B296" t="s">
        <v>1411</v>
      </c>
      <c r="D296" t="s">
        <v>1444</v>
      </c>
    </row>
    <row r="299" spans="1:4">
      <c r="A299" t="s">
        <v>1445</v>
      </c>
      <c r="B299" t="s">
        <v>1446</v>
      </c>
    </row>
    <row r="300" spans="1:4">
      <c r="B300" t="s">
        <v>1447</v>
      </c>
    </row>
  </sheetData>
  <mergeCells count="7">
    <mergeCell ref="E250:F250"/>
    <mergeCell ref="E93:F95"/>
    <mergeCell ref="M32:O32"/>
    <mergeCell ref="J32:L32"/>
    <mergeCell ref="G32:I32"/>
    <mergeCell ref="L36:O36"/>
    <mergeCell ref="H36:K36"/>
  </mergeCells>
  <phoneticPr fontId="5" type="noConversion"/>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P148"/>
  <sheetViews>
    <sheetView topLeftCell="J121" zoomScaleNormal="100" workbookViewId="0">
      <selection activeCell="T125" sqref="T125"/>
    </sheetView>
  </sheetViews>
  <sheetFormatPr defaultRowHeight="16.5"/>
  <cols>
    <col min="10" max="10" width="9" style="15"/>
    <col min="23" max="23" width="13.125" bestFit="1" customWidth="1"/>
    <col min="26" max="26" width="27" customWidth="1"/>
    <col min="33" max="33" width="14.25" bestFit="1" customWidth="1"/>
    <col min="42" max="42" width="14.25" bestFit="1" customWidth="1"/>
  </cols>
  <sheetData>
    <row r="1" spans="1:8">
      <c r="A1" s="15" t="s">
        <v>88</v>
      </c>
      <c r="B1" s="518" t="s">
        <v>90</v>
      </c>
      <c r="C1" s="518"/>
      <c r="D1" s="518"/>
      <c r="E1" s="518"/>
      <c r="F1" s="518"/>
      <c r="G1" s="518"/>
      <c r="H1" s="15" t="s">
        <v>89</v>
      </c>
    </row>
    <row r="2" spans="1:8">
      <c r="B2" s="27">
        <v>2</v>
      </c>
      <c r="C2" s="27">
        <v>1</v>
      </c>
      <c r="D2" s="27">
        <v>0.5</v>
      </c>
      <c r="E2" s="27">
        <v>0</v>
      </c>
      <c r="F2" s="27">
        <v>-1</v>
      </c>
      <c r="G2" s="27">
        <v>-2</v>
      </c>
    </row>
    <row r="3" spans="1:8">
      <c r="A3">
        <v>-1</v>
      </c>
      <c r="B3">
        <f t="shared" ref="B3:B23" si="0">B$2^$A3</f>
        <v>0.5</v>
      </c>
      <c r="C3">
        <f t="shared" ref="C3:G18" si="1">C$2^$A3</f>
        <v>1</v>
      </c>
      <c r="D3">
        <f>D$2^$A3</f>
        <v>2</v>
      </c>
      <c r="E3" t="e">
        <f t="shared" si="1"/>
        <v>#DIV/0!</v>
      </c>
      <c r="F3">
        <f t="shared" si="1"/>
        <v>-1</v>
      </c>
      <c r="G3">
        <f t="shared" si="1"/>
        <v>-0.5</v>
      </c>
    </row>
    <row r="4" spans="1:8">
      <c r="A4">
        <v>-0.9</v>
      </c>
      <c r="B4">
        <f t="shared" si="0"/>
        <v>0.53588673126814657</v>
      </c>
      <c r="C4">
        <f t="shared" si="1"/>
        <v>1</v>
      </c>
      <c r="D4">
        <f t="shared" si="1"/>
        <v>1.8660659830736148</v>
      </c>
      <c r="E4" t="e">
        <f t="shared" si="1"/>
        <v>#DIV/0!</v>
      </c>
      <c r="F4" t="e">
        <f t="shared" si="1"/>
        <v>#NUM!</v>
      </c>
      <c r="G4" t="e">
        <f t="shared" si="1"/>
        <v>#NUM!</v>
      </c>
    </row>
    <row r="5" spans="1:8">
      <c r="A5">
        <v>-0.8</v>
      </c>
      <c r="B5">
        <f t="shared" si="0"/>
        <v>0.57434917749851755</v>
      </c>
      <c r="C5">
        <f t="shared" si="1"/>
        <v>1</v>
      </c>
      <c r="D5">
        <f t="shared" si="1"/>
        <v>1.7411011265922482</v>
      </c>
      <c r="E5" t="e">
        <f t="shared" si="1"/>
        <v>#DIV/0!</v>
      </c>
      <c r="F5" t="e">
        <f t="shared" si="1"/>
        <v>#NUM!</v>
      </c>
      <c r="G5" t="e">
        <f t="shared" si="1"/>
        <v>#NUM!</v>
      </c>
    </row>
    <row r="6" spans="1:8">
      <c r="A6">
        <v>-0.7</v>
      </c>
      <c r="B6">
        <f t="shared" si="0"/>
        <v>0.61557220667245816</v>
      </c>
      <c r="C6">
        <f t="shared" si="1"/>
        <v>1</v>
      </c>
      <c r="D6">
        <f t="shared" si="1"/>
        <v>1.6245047927124709</v>
      </c>
      <c r="E6" t="e">
        <f t="shared" si="1"/>
        <v>#DIV/0!</v>
      </c>
      <c r="F6" t="e">
        <f t="shared" si="1"/>
        <v>#NUM!</v>
      </c>
      <c r="G6" t="e">
        <f t="shared" si="1"/>
        <v>#NUM!</v>
      </c>
    </row>
    <row r="7" spans="1:8">
      <c r="A7">
        <v>-0.6</v>
      </c>
      <c r="B7">
        <f t="shared" si="0"/>
        <v>0.65975395538644721</v>
      </c>
      <c r="C7">
        <f t="shared" si="1"/>
        <v>1</v>
      </c>
      <c r="D7">
        <f t="shared" si="1"/>
        <v>1.5157165665103982</v>
      </c>
      <c r="E7" t="e">
        <f t="shared" si="1"/>
        <v>#DIV/0!</v>
      </c>
      <c r="F7" t="e">
        <f t="shared" si="1"/>
        <v>#NUM!</v>
      </c>
      <c r="G7" t="e">
        <f t="shared" si="1"/>
        <v>#NUM!</v>
      </c>
    </row>
    <row r="8" spans="1:8">
      <c r="A8">
        <v>-0.5</v>
      </c>
      <c r="B8">
        <f t="shared" si="0"/>
        <v>0.70710678118654746</v>
      </c>
      <c r="C8">
        <f t="shared" si="1"/>
        <v>1</v>
      </c>
      <c r="D8">
        <f t="shared" si="1"/>
        <v>1.4142135623730949</v>
      </c>
      <c r="E8" t="e">
        <f t="shared" si="1"/>
        <v>#DIV/0!</v>
      </c>
      <c r="F8" t="e">
        <f t="shared" si="1"/>
        <v>#NUM!</v>
      </c>
      <c r="G8" t="e">
        <f t="shared" si="1"/>
        <v>#NUM!</v>
      </c>
    </row>
    <row r="9" spans="1:8">
      <c r="A9">
        <v>-0.4</v>
      </c>
      <c r="B9">
        <f t="shared" si="0"/>
        <v>0.75785828325519911</v>
      </c>
      <c r="C9">
        <f t="shared" si="1"/>
        <v>1</v>
      </c>
      <c r="D9">
        <f t="shared" si="1"/>
        <v>1.3195079107728942</v>
      </c>
      <c r="E9" t="e">
        <f t="shared" si="1"/>
        <v>#DIV/0!</v>
      </c>
      <c r="F9" t="e">
        <f t="shared" si="1"/>
        <v>#NUM!</v>
      </c>
      <c r="G9" t="e">
        <f t="shared" si="1"/>
        <v>#NUM!</v>
      </c>
    </row>
    <row r="10" spans="1:8">
      <c r="A10">
        <v>-0.3</v>
      </c>
      <c r="B10">
        <f t="shared" si="0"/>
        <v>0.81225239635623547</v>
      </c>
      <c r="C10">
        <f t="shared" si="1"/>
        <v>1</v>
      </c>
      <c r="D10">
        <f t="shared" si="1"/>
        <v>1.2311444133449163</v>
      </c>
      <c r="E10" t="e">
        <f t="shared" si="1"/>
        <v>#DIV/0!</v>
      </c>
      <c r="F10" t="e">
        <f t="shared" si="1"/>
        <v>#NUM!</v>
      </c>
      <c r="G10" t="e">
        <f t="shared" si="1"/>
        <v>#NUM!</v>
      </c>
    </row>
    <row r="11" spans="1:8">
      <c r="A11">
        <v>-0.2</v>
      </c>
      <c r="B11">
        <f t="shared" si="0"/>
        <v>0.87055056329612412</v>
      </c>
      <c r="C11">
        <f t="shared" si="1"/>
        <v>1</v>
      </c>
      <c r="D11">
        <f t="shared" si="1"/>
        <v>1.1486983549970351</v>
      </c>
      <c r="E11" t="e">
        <f t="shared" si="1"/>
        <v>#DIV/0!</v>
      </c>
      <c r="F11">
        <f t="shared" si="1"/>
        <v>-1</v>
      </c>
      <c r="G11">
        <f t="shared" si="1"/>
        <v>-0.87055056329612412</v>
      </c>
    </row>
    <row r="12" spans="1:8">
      <c r="A12">
        <v>-0.1</v>
      </c>
      <c r="B12">
        <f t="shared" si="0"/>
        <v>0.93303299153680741</v>
      </c>
      <c r="C12">
        <f t="shared" si="1"/>
        <v>1</v>
      </c>
      <c r="D12">
        <f t="shared" si="1"/>
        <v>1.0717734625362931</v>
      </c>
      <c r="E12" t="e">
        <f t="shared" si="1"/>
        <v>#DIV/0!</v>
      </c>
      <c r="F12" t="e">
        <f t="shared" si="1"/>
        <v>#NUM!</v>
      </c>
      <c r="G12" t="e">
        <f t="shared" si="1"/>
        <v>#NUM!</v>
      </c>
    </row>
    <row r="13" spans="1:8">
      <c r="A13">
        <v>0</v>
      </c>
      <c r="B13">
        <f t="shared" si="0"/>
        <v>1</v>
      </c>
      <c r="C13">
        <f t="shared" si="1"/>
        <v>1</v>
      </c>
      <c r="D13">
        <f t="shared" si="1"/>
        <v>1</v>
      </c>
      <c r="E13" t="e">
        <f t="shared" si="1"/>
        <v>#NUM!</v>
      </c>
      <c r="F13">
        <f t="shared" si="1"/>
        <v>1</v>
      </c>
      <c r="G13">
        <f t="shared" si="1"/>
        <v>1</v>
      </c>
    </row>
    <row r="14" spans="1:8">
      <c r="A14">
        <v>0.1</v>
      </c>
      <c r="B14">
        <f t="shared" si="0"/>
        <v>1.0717734625362931</v>
      </c>
      <c r="C14">
        <f t="shared" si="1"/>
        <v>1</v>
      </c>
      <c r="D14">
        <f t="shared" si="1"/>
        <v>0.93303299153680741</v>
      </c>
      <c r="E14">
        <f t="shared" si="1"/>
        <v>0</v>
      </c>
      <c r="F14" t="e">
        <f t="shared" si="1"/>
        <v>#NUM!</v>
      </c>
      <c r="G14" t="e">
        <f t="shared" si="1"/>
        <v>#NUM!</v>
      </c>
    </row>
    <row r="15" spans="1:8">
      <c r="A15">
        <v>0.2</v>
      </c>
      <c r="B15">
        <f t="shared" si="0"/>
        <v>1.1486983549970351</v>
      </c>
      <c r="C15">
        <f t="shared" si="1"/>
        <v>1</v>
      </c>
      <c r="D15">
        <f t="shared" si="1"/>
        <v>0.87055056329612412</v>
      </c>
      <c r="E15">
        <f t="shared" si="1"/>
        <v>0</v>
      </c>
      <c r="F15">
        <f t="shared" si="1"/>
        <v>-1</v>
      </c>
      <c r="G15">
        <f t="shared" si="1"/>
        <v>-1.1486983549970351</v>
      </c>
    </row>
    <row r="16" spans="1:8">
      <c r="A16">
        <v>0.3</v>
      </c>
      <c r="B16">
        <f t="shared" si="0"/>
        <v>1.2311444133449163</v>
      </c>
      <c r="C16">
        <f t="shared" si="1"/>
        <v>1</v>
      </c>
      <c r="D16">
        <f t="shared" si="1"/>
        <v>0.81225239635623547</v>
      </c>
      <c r="E16">
        <f t="shared" si="1"/>
        <v>0</v>
      </c>
      <c r="F16" t="e">
        <f t="shared" si="1"/>
        <v>#NUM!</v>
      </c>
      <c r="G16" t="e">
        <f t="shared" si="1"/>
        <v>#NUM!</v>
      </c>
    </row>
    <row r="17" spans="1:10">
      <c r="A17">
        <v>0.4</v>
      </c>
      <c r="B17">
        <f t="shared" si="0"/>
        <v>1.3195079107728942</v>
      </c>
      <c r="C17">
        <f t="shared" si="1"/>
        <v>1</v>
      </c>
      <c r="D17">
        <f t="shared" si="1"/>
        <v>0.75785828325519911</v>
      </c>
      <c r="E17">
        <f t="shared" si="1"/>
        <v>0</v>
      </c>
      <c r="F17" t="e">
        <f t="shared" si="1"/>
        <v>#NUM!</v>
      </c>
      <c r="G17" t="e">
        <f t="shared" si="1"/>
        <v>#NUM!</v>
      </c>
    </row>
    <row r="18" spans="1:10">
      <c r="A18">
        <v>0.5</v>
      </c>
      <c r="B18">
        <f t="shared" si="0"/>
        <v>1.4142135623730951</v>
      </c>
      <c r="C18">
        <f t="shared" si="1"/>
        <v>1</v>
      </c>
      <c r="D18">
        <f t="shared" si="1"/>
        <v>0.70710678118654757</v>
      </c>
      <c r="E18">
        <f t="shared" si="1"/>
        <v>0</v>
      </c>
      <c r="F18" t="e">
        <f t="shared" si="1"/>
        <v>#NUM!</v>
      </c>
      <c r="G18" t="e">
        <f t="shared" si="1"/>
        <v>#NUM!</v>
      </c>
    </row>
    <row r="19" spans="1:10">
      <c r="A19">
        <v>0.6</v>
      </c>
      <c r="B19">
        <f t="shared" si="0"/>
        <v>1.515716566510398</v>
      </c>
      <c r="C19">
        <f t="shared" ref="C19:G23" si="2">C$2^$A19</f>
        <v>1</v>
      </c>
      <c r="D19">
        <f t="shared" si="2"/>
        <v>0.6597539553864471</v>
      </c>
      <c r="E19">
        <f t="shared" si="2"/>
        <v>0</v>
      </c>
      <c r="F19" t="e">
        <f t="shared" si="2"/>
        <v>#NUM!</v>
      </c>
      <c r="G19" t="e">
        <f t="shared" si="2"/>
        <v>#NUM!</v>
      </c>
    </row>
    <row r="20" spans="1:10">
      <c r="A20">
        <v>0.7</v>
      </c>
      <c r="B20">
        <f t="shared" si="0"/>
        <v>1.6245047927124709</v>
      </c>
      <c r="C20">
        <f t="shared" si="2"/>
        <v>1</v>
      </c>
      <c r="D20">
        <f t="shared" si="2"/>
        <v>0.61557220667245816</v>
      </c>
      <c r="E20">
        <f t="shared" si="2"/>
        <v>0</v>
      </c>
      <c r="F20" t="e">
        <f t="shared" si="2"/>
        <v>#NUM!</v>
      </c>
      <c r="G20" t="e">
        <f t="shared" si="2"/>
        <v>#NUM!</v>
      </c>
    </row>
    <row r="21" spans="1:10">
      <c r="A21">
        <v>0.8</v>
      </c>
      <c r="B21">
        <f t="shared" si="0"/>
        <v>1.7411011265922482</v>
      </c>
      <c r="C21">
        <f t="shared" si="2"/>
        <v>1</v>
      </c>
      <c r="D21">
        <f t="shared" si="2"/>
        <v>0.57434917749851755</v>
      </c>
      <c r="E21">
        <f t="shared" si="2"/>
        <v>0</v>
      </c>
      <c r="F21" t="e">
        <f t="shared" si="2"/>
        <v>#NUM!</v>
      </c>
      <c r="G21" t="e">
        <f t="shared" si="2"/>
        <v>#NUM!</v>
      </c>
    </row>
    <row r="22" spans="1:10">
      <c r="A22">
        <v>0.9</v>
      </c>
      <c r="B22">
        <f t="shared" si="0"/>
        <v>1.8660659830736148</v>
      </c>
      <c r="C22">
        <f t="shared" si="2"/>
        <v>1</v>
      </c>
      <c r="D22">
        <f t="shared" si="2"/>
        <v>0.53588673126814657</v>
      </c>
      <c r="E22">
        <f t="shared" si="2"/>
        <v>0</v>
      </c>
      <c r="F22" t="e">
        <f t="shared" si="2"/>
        <v>#NUM!</v>
      </c>
      <c r="G22" t="e">
        <f t="shared" si="2"/>
        <v>#NUM!</v>
      </c>
    </row>
    <row r="23" spans="1:10">
      <c r="A23">
        <v>1</v>
      </c>
      <c r="B23">
        <f t="shared" si="0"/>
        <v>2</v>
      </c>
      <c r="C23">
        <f t="shared" si="2"/>
        <v>1</v>
      </c>
      <c r="D23">
        <f t="shared" si="2"/>
        <v>0.5</v>
      </c>
      <c r="E23">
        <f t="shared" si="2"/>
        <v>0</v>
      </c>
      <c r="F23">
        <f t="shared" si="2"/>
        <v>-1</v>
      </c>
      <c r="G23">
        <f t="shared" si="2"/>
        <v>-2</v>
      </c>
    </row>
    <row r="29" spans="1:10" s="1" customFormat="1">
      <c r="A29" s="523" t="s">
        <v>101</v>
      </c>
      <c r="B29" s="523"/>
      <c r="C29" s="523"/>
      <c r="D29" s="523"/>
      <c r="E29" s="523"/>
      <c r="J29" s="28"/>
    </row>
    <row r="31" spans="1:10">
      <c r="A31" s="27" t="s">
        <v>88</v>
      </c>
      <c r="B31" s="27" t="s">
        <v>90</v>
      </c>
      <c r="C31" s="15" t="s">
        <v>98</v>
      </c>
      <c r="D31" t="s">
        <v>99</v>
      </c>
      <c r="E31" t="s">
        <v>100</v>
      </c>
    </row>
    <row r="32" spans="1:10">
      <c r="B32" s="15">
        <v>2</v>
      </c>
      <c r="D32" s="15">
        <v>3</v>
      </c>
      <c r="E32" s="15">
        <v>3</v>
      </c>
    </row>
    <row r="33" spans="1:5">
      <c r="A33">
        <v>-1</v>
      </c>
      <c r="C33">
        <f>$B$32^A33</f>
        <v>0.5</v>
      </c>
      <c r="D33">
        <f>$B$32^(A33-$D$32)</f>
        <v>6.25E-2</v>
      </c>
      <c r="E33">
        <f>($B$32^A33) +$E$32</f>
        <v>3.5</v>
      </c>
    </row>
    <row r="34" spans="1:5">
      <c r="A34">
        <v>-0.9</v>
      </c>
      <c r="C34">
        <f t="shared" ref="C34:C53" si="3">$B$32^A34</f>
        <v>0.53588673126814657</v>
      </c>
      <c r="D34">
        <f t="shared" ref="D34:D53" si="4">$B$32^(A34-$D$32)</f>
        <v>6.6985841408518335E-2</v>
      </c>
      <c r="E34">
        <f t="shared" ref="E34:E53" si="5">($B$32^A34) +$E$32</f>
        <v>3.5358867312681466</v>
      </c>
    </row>
    <row r="35" spans="1:5">
      <c r="A35">
        <v>-0.8</v>
      </c>
      <c r="C35">
        <f t="shared" si="3"/>
        <v>0.57434917749851755</v>
      </c>
      <c r="D35">
        <f t="shared" si="4"/>
        <v>7.1793647187314694E-2</v>
      </c>
      <c r="E35">
        <f t="shared" si="5"/>
        <v>3.5743491774985174</v>
      </c>
    </row>
    <row r="36" spans="1:5">
      <c r="A36">
        <v>-0.7</v>
      </c>
      <c r="C36">
        <f t="shared" si="3"/>
        <v>0.61557220667245816</v>
      </c>
      <c r="D36">
        <f t="shared" si="4"/>
        <v>7.6946525834057269E-2</v>
      </c>
      <c r="E36">
        <f t="shared" si="5"/>
        <v>3.615572206672458</v>
      </c>
    </row>
    <row r="37" spans="1:5">
      <c r="A37">
        <v>-0.6</v>
      </c>
      <c r="C37">
        <f t="shared" si="3"/>
        <v>0.65975395538644721</v>
      </c>
      <c r="D37">
        <f t="shared" si="4"/>
        <v>8.2469244423305901E-2</v>
      </c>
      <c r="E37">
        <f t="shared" si="5"/>
        <v>3.6597539553864471</v>
      </c>
    </row>
    <row r="38" spans="1:5">
      <c r="A38">
        <v>-0.5</v>
      </c>
      <c r="C38">
        <f t="shared" si="3"/>
        <v>0.70710678118654746</v>
      </c>
      <c r="D38">
        <f t="shared" si="4"/>
        <v>8.8388347648318447E-2</v>
      </c>
      <c r="E38">
        <f t="shared" si="5"/>
        <v>3.7071067811865475</v>
      </c>
    </row>
    <row r="39" spans="1:5">
      <c r="A39">
        <v>-0.4</v>
      </c>
      <c r="C39">
        <f t="shared" si="3"/>
        <v>0.75785828325519911</v>
      </c>
      <c r="D39">
        <f t="shared" si="4"/>
        <v>9.4732285406899902E-2</v>
      </c>
      <c r="E39">
        <f t="shared" si="5"/>
        <v>3.757858283255199</v>
      </c>
    </row>
    <row r="40" spans="1:5">
      <c r="A40">
        <v>-0.3</v>
      </c>
      <c r="C40">
        <f t="shared" si="3"/>
        <v>0.81225239635623547</v>
      </c>
      <c r="D40">
        <f t="shared" si="4"/>
        <v>0.10153154954452946</v>
      </c>
      <c r="E40">
        <f t="shared" si="5"/>
        <v>3.8122523963562354</v>
      </c>
    </row>
    <row r="41" spans="1:5">
      <c r="A41">
        <v>-0.2</v>
      </c>
      <c r="C41">
        <f t="shared" si="3"/>
        <v>0.87055056329612412</v>
      </c>
      <c r="D41">
        <f t="shared" si="4"/>
        <v>0.10881882041201553</v>
      </c>
      <c r="E41">
        <f t="shared" si="5"/>
        <v>3.8705505632961241</v>
      </c>
    </row>
    <row r="42" spans="1:5">
      <c r="A42">
        <v>-0.1</v>
      </c>
      <c r="C42">
        <f t="shared" si="3"/>
        <v>0.93303299153680741</v>
      </c>
      <c r="D42">
        <f t="shared" si="4"/>
        <v>0.11662912394210095</v>
      </c>
      <c r="E42">
        <f t="shared" si="5"/>
        <v>3.9330329915368072</v>
      </c>
    </row>
    <row r="43" spans="1:5">
      <c r="A43">
        <v>0</v>
      </c>
      <c r="C43">
        <f t="shared" si="3"/>
        <v>1</v>
      </c>
      <c r="D43">
        <f t="shared" si="4"/>
        <v>0.125</v>
      </c>
      <c r="E43">
        <f t="shared" si="5"/>
        <v>4</v>
      </c>
    </row>
    <row r="44" spans="1:5">
      <c r="A44">
        <v>0.1</v>
      </c>
      <c r="C44">
        <f t="shared" si="3"/>
        <v>1.0717734625362931</v>
      </c>
      <c r="D44">
        <f t="shared" si="4"/>
        <v>0.13397168281703667</v>
      </c>
      <c r="E44">
        <f t="shared" si="5"/>
        <v>4.0717734625362931</v>
      </c>
    </row>
    <row r="45" spans="1:5">
      <c r="A45">
        <v>0.2</v>
      </c>
      <c r="C45">
        <f t="shared" si="3"/>
        <v>1.1486983549970351</v>
      </c>
      <c r="D45">
        <f t="shared" si="4"/>
        <v>0.14358729437462939</v>
      </c>
      <c r="E45">
        <f t="shared" si="5"/>
        <v>4.1486983549970349</v>
      </c>
    </row>
    <row r="46" spans="1:5">
      <c r="A46">
        <v>0.3</v>
      </c>
      <c r="C46">
        <f t="shared" si="3"/>
        <v>1.2311444133449163</v>
      </c>
      <c r="D46">
        <f t="shared" si="4"/>
        <v>0.15389305166811451</v>
      </c>
      <c r="E46">
        <f t="shared" si="5"/>
        <v>4.2311444133449161</v>
      </c>
    </row>
    <row r="47" spans="1:5">
      <c r="A47">
        <v>0.4</v>
      </c>
      <c r="C47">
        <f t="shared" si="3"/>
        <v>1.3195079107728942</v>
      </c>
      <c r="D47">
        <f t="shared" si="4"/>
        <v>0.1649384888466118</v>
      </c>
      <c r="E47">
        <f t="shared" si="5"/>
        <v>4.3195079107728942</v>
      </c>
    </row>
    <row r="48" spans="1:5">
      <c r="A48">
        <v>0.5</v>
      </c>
      <c r="C48">
        <f t="shared" si="3"/>
        <v>1.4142135623730951</v>
      </c>
      <c r="D48">
        <f t="shared" si="4"/>
        <v>0.17677669529663687</v>
      </c>
      <c r="E48">
        <f t="shared" si="5"/>
        <v>4.4142135623730949</v>
      </c>
    </row>
    <row r="49" spans="1:10">
      <c r="A49">
        <v>0.6</v>
      </c>
      <c r="C49">
        <f t="shared" si="3"/>
        <v>1.515716566510398</v>
      </c>
      <c r="D49">
        <f t="shared" si="4"/>
        <v>0.18946457081379978</v>
      </c>
      <c r="E49">
        <f t="shared" si="5"/>
        <v>4.515716566510398</v>
      </c>
    </row>
    <row r="50" spans="1:10">
      <c r="A50">
        <v>0.7</v>
      </c>
      <c r="C50">
        <f t="shared" si="3"/>
        <v>1.6245047927124709</v>
      </c>
      <c r="D50">
        <f t="shared" si="4"/>
        <v>0.20306309908905892</v>
      </c>
      <c r="E50">
        <f t="shared" si="5"/>
        <v>4.6245047927124707</v>
      </c>
    </row>
    <row r="51" spans="1:10">
      <c r="A51">
        <v>0.8</v>
      </c>
      <c r="C51">
        <f t="shared" si="3"/>
        <v>1.7411011265922482</v>
      </c>
      <c r="D51">
        <f t="shared" si="4"/>
        <v>0.21763764082403106</v>
      </c>
      <c r="E51">
        <f t="shared" si="5"/>
        <v>4.7411011265922482</v>
      </c>
    </row>
    <row r="52" spans="1:10">
      <c r="A52">
        <v>0.9</v>
      </c>
      <c r="C52">
        <f t="shared" si="3"/>
        <v>1.8660659830736148</v>
      </c>
      <c r="D52">
        <f t="shared" si="4"/>
        <v>0.23325824788420185</v>
      </c>
      <c r="E52">
        <f t="shared" si="5"/>
        <v>4.8660659830736144</v>
      </c>
    </row>
    <row r="53" spans="1:10">
      <c r="A53">
        <v>1</v>
      </c>
      <c r="C53">
        <f t="shared" si="3"/>
        <v>2</v>
      </c>
      <c r="D53">
        <f t="shared" si="4"/>
        <v>0.25</v>
      </c>
      <c r="E53">
        <f t="shared" si="5"/>
        <v>5</v>
      </c>
    </row>
    <row r="60" spans="1:10" s="1" customFormat="1">
      <c r="A60" s="523" t="s">
        <v>102</v>
      </c>
      <c r="B60" s="523"/>
      <c r="C60" s="523"/>
      <c r="D60" s="523"/>
      <c r="E60" s="523"/>
      <c r="J60" s="28"/>
    </row>
    <row r="61" spans="1:10">
      <c r="A61" s="27" t="s">
        <v>88</v>
      </c>
      <c r="B61" s="27" t="s">
        <v>90</v>
      </c>
      <c r="C61" s="15" t="s">
        <v>98</v>
      </c>
      <c r="D61" t="s">
        <v>103</v>
      </c>
      <c r="F61" t="s">
        <v>104</v>
      </c>
      <c r="H61" t="s">
        <v>105</v>
      </c>
    </row>
    <row r="62" spans="1:10">
      <c r="B62" s="15">
        <v>2</v>
      </c>
    </row>
    <row r="63" spans="1:10">
      <c r="A63">
        <v>-1</v>
      </c>
      <c r="C63">
        <f>$B$32^A63</f>
        <v>0.5</v>
      </c>
      <c r="D63">
        <f>$B$62^(-A63)</f>
        <v>2</v>
      </c>
      <c r="F63">
        <f>-($B$62^A63)</f>
        <v>-0.5</v>
      </c>
      <c r="H63">
        <f>-($B$62^-(A63))</f>
        <v>-2</v>
      </c>
    </row>
    <row r="64" spans="1:10">
      <c r="A64">
        <v>-0.9</v>
      </c>
      <c r="C64">
        <f t="shared" ref="C64:C83" si="6">$B$32^A64</f>
        <v>0.53588673126814657</v>
      </c>
      <c r="D64">
        <f t="shared" ref="D64:D83" si="7">$B$62^(-A64)</f>
        <v>1.8660659830736148</v>
      </c>
      <c r="F64">
        <f t="shared" ref="F64:F83" si="8">-($B$62^A64)</f>
        <v>-0.53588673126814657</v>
      </c>
      <c r="H64">
        <f t="shared" ref="H64:H83" si="9">-($B$62^-(A64))</f>
        <v>-1.8660659830736148</v>
      </c>
    </row>
    <row r="65" spans="1:8">
      <c r="A65">
        <v>-0.8</v>
      </c>
      <c r="C65">
        <f t="shared" si="6"/>
        <v>0.57434917749851755</v>
      </c>
      <c r="D65">
        <f t="shared" si="7"/>
        <v>1.7411011265922482</v>
      </c>
      <c r="F65">
        <f t="shared" si="8"/>
        <v>-0.57434917749851755</v>
      </c>
      <c r="H65">
        <f t="shared" si="9"/>
        <v>-1.7411011265922482</v>
      </c>
    </row>
    <row r="66" spans="1:8">
      <c r="A66">
        <v>-0.7</v>
      </c>
      <c r="C66">
        <f t="shared" si="6"/>
        <v>0.61557220667245816</v>
      </c>
      <c r="D66">
        <f t="shared" si="7"/>
        <v>1.6245047927124709</v>
      </c>
      <c r="F66">
        <f t="shared" si="8"/>
        <v>-0.61557220667245816</v>
      </c>
      <c r="H66">
        <f t="shared" si="9"/>
        <v>-1.6245047927124709</v>
      </c>
    </row>
    <row r="67" spans="1:8">
      <c r="A67">
        <v>-0.6</v>
      </c>
      <c r="C67">
        <f t="shared" si="6"/>
        <v>0.65975395538644721</v>
      </c>
      <c r="D67">
        <f t="shared" si="7"/>
        <v>1.515716566510398</v>
      </c>
      <c r="F67">
        <f t="shared" si="8"/>
        <v>-0.65975395538644721</v>
      </c>
      <c r="H67">
        <f t="shared" si="9"/>
        <v>-1.515716566510398</v>
      </c>
    </row>
    <row r="68" spans="1:8">
      <c r="A68">
        <v>-0.5</v>
      </c>
      <c r="C68">
        <f t="shared" si="6"/>
        <v>0.70710678118654746</v>
      </c>
      <c r="D68">
        <f t="shared" si="7"/>
        <v>1.4142135623730951</v>
      </c>
      <c r="F68">
        <f t="shared" si="8"/>
        <v>-0.70710678118654746</v>
      </c>
      <c r="H68">
        <f t="shared" si="9"/>
        <v>-1.4142135623730951</v>
      </c>
    </row>
    <row r="69" spans="1:8">
      <c r="A69">
        <v>-0.4</v>
      </c>
      <c r="C69">
        <f t="shared" si="6"/>
        <v>0.75785828325519911</v>
      </c>
      <c r="D69">
        <f t="shared" si="7"/>
        <v>1.3195079107728942</v>
      </c>
      <c r="F69">
        <f t="shared" si="8"/>
        <v>-0.75785828325519911</v>
      </c>
      <c r="H69">
        <f t="shared" si="9"/>
        <v>-1.3195079107728942</v>
      </c>
    </row>
    <row r="70" spans="1:8">
      <c r="A70">
        <v>-0.3</v>
      </c>
      <c r="C70">
        <f t="shared" si="6"/>
        <v>0.81225239635623547</v>
      </c>
      <c r="D70">
        <f t="shared" si="7"/>
        <v>1.2311444133449163</v>
      </c>
      <c r="F70">
        <f t="shared" si="8"/>
        <v>-0.81225239635623547</v>
      </c>
      <c r="H70">
        <f t="shared" si="9"/>
        <v>-1.2311444133449163</v>
      </c>
    </row>
    <row r="71" spans="1:8">
      <c r="A71">
        <v>-0.2</v>
      </c>
      <c r="C71">
        <f t="shared" si="6"/>
        <v>0.87055056329612412</v>
      </c>
      <c r="D71">
        <f t="shared" si="7"/>
        <v>1.1486983549970351</v>
      </c>
      <c r="F71">
        <f t="shared" si="8"/>
        <v>-0.87055056329612412</v>
      </c>
      <c r="H71">
        <f t="shared" si="9"/>
        <v>-1.1486983549970351</v>
      </c>
    </row>
    <row r="72" spans="1:8">
      <c r="A72">
        <v>-0.1</v>
      </c>
      <c r="C72">
        <f t="shared" si="6"/>
        <v>0.93303299153680741</v>
      </c>
      <c r="D72">
        <f t="shared" si="7"/>
        <v>1.0717734625362931</v>
      </c>
      <c r="F72">
        <f t="shared" si="8"/>
        <v>-0.93303299153680741</v>
      </c>
      <c r="H72">
        <f t="shared" si="9"/>
        <v>-1.0717734625362931</v>
      </c>
    </row>
    <row r="73" spans="1:8">
      <c r="A73">
        <v>0</v>
      </c>
      <c r="C73">
        <f t="shared" si="6"/>
        <v>1</v>
      </c>
      <c r="D73">
        <f t="shared" si="7"/>
        <v>1</v>
      </c>
      <c r="F73">
        <f t="shared" si="8"/>
        <v>-1</v>
      </c>
      <c r="H73">
        <f t="shared" si="9"/>
        <v>-1</v>
      </c>
    </row>
    <row r="74" spans="1:8">
      <c r="A74">
        <v>0.1</v>
      </c>
      <c r="C74">
        <f t="shared" si="6"/>
        <v>1.0717734625362931</v>
      </c>
      <c r="D74">
        <f t="shared" si="7"/>
        <v>0.93303299153680741</v>
      </c>
      <c r="F74">
        <f t="shared" si="8"/>
        <v>-1.0717734625362931</v>
      </c>
      <c r="H74">
        <f t="shared" si="9"/>
        <v>-0.93303299153680741</v>
      </c>
    </row>
    <row r="75" spans="1:8">
      <c r="A75">
        <v>0.2</v>
      </c>
      <c r="C75">
        <f t="shared" si="6"/>
        <v>1.1486983549970351</v>
      </c>
      <c r="D75">
        <f t="shared" si="7"/>
        <v>0.87055056329612412</v>
      </c>
      <c r="F75">
        <f t="shared" si="8"/>
        <v>-1.1486983549970351</v>
      </c>
      <c r="H75">
        <f t="shared" si="9"/>
        <v>-0.87055056329612412</v>
      </c>
    </row>
    <row r="76" spans="1:8">
      <c r="A76">
        <v>0.3</v>
      </c>
      <c r="C76">
        <f t="shared" si="6"/>
        <v>1.2311444133449163</v>
      </c>
      <c r="D76">
        <f t="shared" si="7"/>
        <v>0.81225239635623547</v>
      </c>
      <c r="F76">
        <f t="shared" si="8"/>
        <v>-1.2311444133449163</v>
      </c>
      <c r="H76">
        <f t="shared" si="9"/>
        <v>-0.81225239635623547</v>
      </c>
    </row>
    <row r="77" spans="1:8">
      <c r="A77">
        <v>0.4</v>
      </c>
      <c r="C77">
        <f t="shared" si="6"/>
        <v>1.3195079107728942</v>
      </c>
      <c r="D77">
        <f t="shared" si="7"/>
        <v>0.75785828325519911</v>
      </c>
      <c r="F77">
        <f t="shared" si="8"/>
        <v>-1.3195079107728942</v>
      </c>
      <c r="H77">
        <f t="shared" si="9"/>
        <v>-0.75785828325519911</v>
      </c>
    </row>
    <row r="78" spans="1:8">
      <c r="A78">
        <v>0.5</v>
      </c>
      <c r="C78">
        <f t="shared" si="6"/>
        <v>1.4142135623730951</v>
      </c>
      <c r="D78">
        <f t="shared" si="7"/>
        <v>0.70710678118654746</v>
      </c>
      <c r="F78">
        <f t="shared" si="8"/>
        <v>-1.4142135623730951</v>
      </c>
      <c r="H78">
        <f t="shared" si="9"/>
        <v>-0.70710678118654746</v>
      </c>
    </row>
    <row r="79" spans="1:8">
      <c r="A79">
        <v>0.6</v>
      </c>
      <c r="C79">
        <f t="shared" si="6"/>
        <v>1.515716566510398</v>
      </c>
      <c r="D79">
        <f t="shared" si="7"/>
        <v>0.65975395538644721</v>
      </c>
      <c r="F79">
        <f t="shared" si="8"/>
        <v>-1.515716566510398</v>
      </c>
      <c r="H79">
        <f t="shared" si="9"/>
        <v>-0.65975395538644721</v>
      </c>
    </row>
    <row r="80" spans="1:8">
      <c r="A80">
        <v>0.7</v>
      </c>
      <c r="C80">
        <f t="shared" si="6"/>
        <v>1.6245047927124709</v>
      </c>
      <c r="D80">
        <f t="shared" si="7"/>
        <v>0.61557220667245816</v>
      </c>
      <c r="F80">
        <f t="shared" si="8"/>
        <v>-1.6245047927124709</v>
      </c>
      <c r="H80">
        <f t="shared" si="9"/>
        <v>-0.61557220667245816</v>
      </c>
    </row>
    <row r="81" spans="1:8">
      <c r="A81">
        <v>0.8</v>
      </c>
      <c r="C81">
        <f t="shared" si="6"/>
        <v>1.7411011265922482</v>
      </c>
      <c r="D81">
        <f t="shared" si="7"/>
        <v>0.57434917749851755</v>
      </c>
      <c r="F81">
        <f t="shared" si="8"/>
        <v>-1.7411011265922482</v>
      </c>
      <c r="H81">
        <f t="shared" si="9"/>
        <v>-0.57434917749851755</v>
      </c>
    </row>
    <row r="82" spans="1:8">
      <c r="A82">
        <v>0.9</v>
      </c>
      <c r="C82">
        <f t="shared" si="6"/>
        <v>1.8660659830736148</v>
      </c>
      <c r="D82">
        <f t="shared" si="7"/>
        <v>0.53588673126814657</v>
      </c>
      <c r="F82">
        <f t="shared" si="8"/>
        <v>-1.8660659830736148</v>
      </c>
      <c r="H82">
        <f t="shared" si="9"/>
        <v>-0.53588673126814657</v>
      </c>
    </row>
    <row r="83" spans="1:8">
      <c r="A83">
        <v>1</v>
      </c>
      <c r="C83">
        <f t="shared" si="6"/>
        <v>2</v>
      </c>
      <c r="D83">
        <f t="shared" si="7"/>
        <v>0.5</v>
      </c>
      <c r="F83">
        <f t="shared" si="8"/>
        <v>-2</v>
      </c>
      <c r="H83">
        <f t="shared" si="9"/>
        <v>-0.5</v>
      </c>
    </row>
    <row r="103" spans="8:42" s="1" customFormat="1">
      <c r="H103" s="1" t="s">
        <v>108</v>
      </c>
      <c r="J103" s="28"/>
    </row>
    <row r="104" spans="8:42">
      <c r="Y104" s="15" t="s">
        <v>118</v>
      </c>
      <c r="Z104">
        <v>2.7182818284590402</v>
      </c>
      <c r="AB104">
        <f>EXP(1)</f>
        <v>2.7182818284590451</v>
      </c>
    </row>
    <row r="105" spans="8:42">
      <c r="V105" s="15" t="s">
        <v>116</v>
      </c>
      <c r="W105" s="15" t="s">
        <v>117</v>
      </c>
      <c r="AF105" s="15" t="s">
        <v>116</v>
      </c>
      <c r="AG105" s="15" t="s">
        <v>117</v>
      </c>
      <c r="AO105" s="15" t="s">
        <v>116</v>
      </c>
      <c r="AP105" s="15" t="s">
        <v>117</v>
      </c>
    </row>
    <row r="106" spans="8:42">
      <c r="V106">
        <v>-100</v>
      </c>
      <c r="W106">
        <f>1 / (1 + $Z$104^(-V106))</f>
        <v>3.7200759760215157E-44</v>
      </c>
      <c r="AF106" s="15"/>
      <c r="AG106" s="15"/>
      <c r="AO106" s="15">
        <v>-100</v>
      </c>
      <c r="AP106" s="15">
        <f>W106</f>
        <v>3.7200759760215157E-44</v>
      </c>
    </row>
    <row r="107" spans="8:42">
      <c r="V107">
        <v>-90</v>
      </c>
      <c r="W107">
        <f t="shared" ref="W107:W126" si="10">1 / (1 + $Z$104^(-V107))</f>
        <v>8.1940126239918622E-40</v>
      </c>
      <c r="AF107">
        <v>-2</v>
      </c>
      <c r="AG107">
        <f>1 / ( 1 + $Z$104^(-AF107))</f>
        <v>0.11920292202211794</v>
      </c>
      <c r="AO107">
        <v>-2</v>
      </c>
      <c r="AP107">
        <f>1 / ( 1 + $Z$104^(-AO107))</f>
        <v>0.11920292202211794</v>
      </c>
    </row>
    <row r="108" spans="8:42">
      <c r="V108">
        <v>-80</v>
      </c>
      <c r="W108">
        <f t="shared" si="10"/>
        <v>1.8048513878456791E-35</v>
      </c>
      <c r="AF108">
        <v>-1.9</v>
      </c>
      <c r="AG108">
        <f t="shared" ref="AG108:AG147" si="11">1 / ( 1 + $Z$104^(-AF108))</f>
        <v>0.13010847436299824</v>
      </c>
      <c r="AO108">
        <v>-1.9</v>
      </c>
      <c r="AP108">
        <f t="shared" ref="AP108:AP147" si="12">1 / ( 1 + $Z$104^(-AO108))</f>
        <v>0.13010847436299824</v>
      </c>
    </row>
    <row r="109" spans="8:42">
      <c r="V109">
        <v>-70</v>
      </c>
      <c r="W109">
        <f t="shared" si="10"/>
        <v>3.9754497359091557E-31</v>
      </c>
      <c r="AF109">
        <v>-1.8</v>
      </c>
      <c r="AG109">
        <f t="shared" si="11"/>
        <v>0.14185106490048818</v>
      </c>
      <c r="AO109">
        <v>-1.8</v>
      </c>
      <c r="AP109">
        <f t="shared" si="12"/>
        <v>0.14185106490048818</v>
      </c>
    </row>
    <row r="110" spans="8:42">
      <c r="V110">
        <v>-60</v>
      </c>
      <c r="W110">
        <f t="shared" si="10"/>
        <v>8.7565107626974814E-27</v>
      </c>
      <c r="AF110">
        <v>-1.7</v>
      </c>
      <c r="AG110">
        <f t="shared" si="11"/>
        <v>0.15446526508353511</v>
      </c>
      <c r="AO110">
        <v>-1.7</v>
      </c>
      <c r="AP110">
        <f t="shared" si="12"/>
        <v>0.15446526508353511</v>
      </c>
    </row>
    <row r="111" spans="8:42">
      <c r="V111">
        <v>-50</v>
      </c>
      <c r="W111">
        <f t="shared" si="10"/>
        <v>1.9287498479640941E-22</v>
      </c>
      <c r="AF111">
        <v>-1.6</v>
      </c>
      <c r="AG111">
        <f t="shared" si="11"/>
        <v>0.16798161486607593</v>
      </c>
      <c r="AO111">
        <v>-1.6</v>
      </c>
      <c r="AP111">
        <f t="shared" si="12"/>
        <v>0.16798161486607593</v>
      </c>
    </row>
    <row r="112" spans="8:42">
      <c r="V112">
        <v>-40</v>
      </c>
      <c r="W112">
        <f t="shared" si="10"/>
        <v>4.2483542552918993E-18</v>
      </c>
      <c r="AF112">
        <v>-1.5</v>
      </c>
      <c r="AG112">
        <f t="shared" si="11"/>
        <v>0.18242552380635677</v>
      </c>
      <c r="AO112">
        <v>-1.5</v>
      </c>
      <c r="AP112">
        <f t="shared" si="12"/>
        <v>0.18242552380635677</v>
      </c>
    </row>
    <row r="113" spans="8:42">
      <c r="V113">
        <v>-30</v>
      </c>
      <c r="W113">
        <f t="shared" si="10"/>
        <v>9.3576229688398126E-14</v>
      </c>
      <c r="AF113">
        <v>-1.4</v>
      </c>
      <c r="AG113">
        <f t="shared" si="11"/>
        <v>0.1978161114414187</v>
      </c>
      <c r="AO113">
        <v>-1.4</v>
      </c>
      <c r="AP113">
        <f t="shared" si="12"/>
        <v>0.1978161114414187</v>
      </c>
    </row>
    <row r="114" spans="8:42">
      <c r="V114">
        <v>-20</v>
      </c>
      <c r="W114">
        <f t="shared" si="10"/>
        <v>2.0611536181902786E-9</v>
      </c>
      <c r="AF114">
        <v>-1.3</v>
      </c>
      <c r="AG114">
        <f t="shared" si="11"/>
        <v>0.21416501695744178</v>
      </c>
      <c r="AO114">
        <v>-1.3</v>
      </c>
      <c r="AP114">
        <f t="shared" si="12"/>
        <v>0.21416501695744178</v>
      </c>
    </row>
    <row r="115" spans="8:42">
      <c r="V115">
        <v>-10</v>
      </c>
      <c r="W115">
        <f t="shared" si="10"/>
        <v>4.5397868702435221E-5</v>
      </c>
      <c r="AF115">
        <v>-1.2</v>
      </c>
      <c r="AG115">
        <f t="shared" si="11"/>
        <v>0.23147521650098274</v>
      </c>
      <c r="AO115">
        <v>-1.2</v>
      </c>
      <c r="AP115">
        <f t="shared" si="12"/>
        <v>0.23147521650098274</v>
      </c>
    </row>
    <row r="116" spans="8:42">
      <c r="V116">
        <v>0</v>
      </c>
      <c r="W116">
        <f t="shared" si="10"/>
        <v>0.5</v>
      </c>
      <c r="AF116">
        <v>-1.1000000000000001</v>
      </c>
      <c r="AG116">
        <f t="shared" si="11"/>
        <v>0.24973989440488278</v>
      </c>
      <c r="AO116">
        <v>-1.1000000000000001</v>
      </c>
      <c r="AP116">
        <f t="shared" si="12"/>
        <v>0.24973989440488278</v>
      </c>
    </row>
    <row r="117" spans="8:42">
      <c r="V117">
        <v>10</v>
      </c>
      <c r="W117">
        <f t="shared" si="10"/>
        <v>0.99995460213129761</v>
      </c>
      <c r="AF117">
        <v>-1</v>
      </c>
      <c r="AG117">
        <f t="shared" si="11"/>
        <v>0.26894142136999549</v>
      </c>
      <c r="AO117">
        <v>-1</v>
      </c>
      <c r="AP117">
        <f t="shared" si="12"/>
        <v>0.26894142136999549</v>
      </c>
    </row>
    <row r="118" spans="8:42">
      <c r="V118">
        <v>20</v>
      </c>
      <c r="W118">
        <f t="shared" si="10"/>
        <v>0.99999999793884631</v>
      </c>
      <c r="AF118">
        <v>-0.9</v>
      </c>
      <c r="AG118">
        <f t="shared" si="11"/>
        <v>0.28905049737499638</v>
      </c>
      <c r="AO118">
        <v>-0.9</v>
      </c>
      <c r="AP118">
        <f t="shared" si="12"/>
        <v>0.28905049737499638</v>
      </c>
    </row>
    <row r="119" spans="8:42">
      <c r="V119">
        <v>30</v>
      </c>
      <c r="W119">
        <f t="shared" si="10"/>
        <v>0.99999999999990652</v>
      </c>
      <c r="AF119">
        <v>-0.8</v>
      </c>
      <c r="AG119">
        <f t="shared" si="11"/>
        <v>0.31002551887238788</v>
      </c>
      <c r="AO119">
        <v>-0.8</v>
      </c>
      <c r="AP119">
        <f t="shared" si="12"/>
        <v>0.31002551887238788</v>
      </c>
    </row>
    <row r="120" spans="8:42">
      <c r="V120">
        <v>40</v>
      </c>
      <c r="W120">
        <f t="shared" si="10"/>
        <v>1</v>
      </c>
      <c r="AF120">
        <v>-0.7</v>
      </c>
      <c r="AG120">
        <f t="shared" si="11"/>
        <v>0.33181222783183417</v>
      </c>
      <c r="AO120">
        <v>-0.7</v>
      </c>
      <c r="AP120">
        <f t="shared" si="12"/>
        <v>0.33181222783183417</v>
      </c>
    </row>
    <row r="121" spans="8:42">
      <c r="V121">
        <v>50</v>
      </c>
      <c r="W121">
        <f t="shared" si="10"/>
        <v>1</v>
      </c>
      <c r="AF121">
        <v>-0.6</v>
      </c>
      <c r="AG121">
        <f t="shared" si="11"/>
        <v>0.35434369377420483</v>
      </c>
      <c r="AO121">
        <v>-0.6</v>
      </c>
      <c r="AP121">
        <f t="shared" si="12"/>
        <v>0.35434369377420483</v>
      </c>
    </row>
    <row r="122" spans="8:42">
      <c r="V122">
        <v>60</v>
      </c>
      <c r="W122">
        <f t="shared" si="10"/>
        <v>1</v>
      </c>
      <c r="AF122">
        <v>-0.5</v>
      </c>
      <c r="AG122">
        <f t="shared" si="11"/>
        <v>0.37754066879814568</v>
      </c>
      <c r="AO122">
        <v>-0.5</v>
      </c>
      <c r="AP122">
        <f t="shared" si="12"/>
        <v>0.37754066879814568</v>
      </c>
    </row>
    <row r="123" spans="8:42">
      <c r="V123">
        <v>70</v>
      </c>
      <c r="W123">
        <f t="shared" si="10"/>
        <v>1</v>
      </c>
      <c r="AF123">
        <v>-0.4</v>
      </c>
      <c r="AG123">
        <f t="shared" si="11"/>
        <v>0.40131233988754816</v>
      </c>
      <c r="AO123">
        <v>-0.4</v>
      </c>
      <c r="AP123">
        <f t="shared" si="12"/>
        <v>0.40131233988754816</v>
      </c>
    </row>
    <row r="124" spans="8:42">
      <c r="H124" t="s">
        <v>109</v>
      </c>
      <c r="V124">
        <v>80</v>
      </c>
      <c r="W124">
        <f t="shared" si="10"/>
        <v>1</v>
      </c>
      <c r="AF124">
        <v>-0.3</v>
      </c>
      <c r="AG124">
        <f t="shared" si="11"/>
        <v>0.42555748318834113</v>
      </c>
      <c r="AO124">
        <v>-0.3</v>
      </c>
      <c r="AP124">
        <f t="shared" si="12"/>
        <v>0.42555748318834113</v>
      </c>
    </row>
    <row r="125" spans="8:42">
      <c r="V125">
        <v>90</v>
      </c>
      <c r="W125">
        <f t="shared" si="10"/>
        <v>1</v>
      </c>
      <c r="AF125">
        <v>-0.2</v>
      </c>
      <c r="AG125">
        <f t="shared" si="11"/>
        <v>0.45016600268752216</v>
      </c>
      <c r="AO125">
        <v>-0.2</v>
      </c>
      <c r="AP125">
        <f t="shared" si="12"/>
        <v>0.45016600268752216</v>
      </c>
    </row>
    <row r="126" spans="8:42">
      <c r="H126" t="s">
        <v>113</v>
      </c>
      <c r="V126">
        <v>100</v>
      </c>
      <c r="W126">
        <f t="shared" si="10"/>
        <v>1</v>
      </c>
      <c r="AF126">
        <v>-0.1</v>
      </c>
      <c r="AG126">
        <f t="shared" si="11"/>
        <v>0.47502081252105999</v>
      </c>
      <c r="AO126">
        <v>-0.1</v>
      </c>
      <c r="AP126">
        <f t="shared" si="12"/>
        <v>0.47502081252105999</v>
      </c>
    </row>
    <row r="127" spans="8:42">
      <c r="H127" t="s">
        <v>110</v>
      </c>
      <c r="AF127">
        <v>0</v>
      </c>
      <c r="AG127">
        <f t="shared" si="11"/>
        <v>0.5</v>
      </c>
      <c r="AO127">
        <v>0</v>
      </c>
      <c r="AP127">
        <f t="shared" si="12"/>
        <v>0.5</v>
      </c>
    </row>
    <row r="128" spans="8:42" s="1" customFormat="1">
      <c r="H128" s="1" t="s">
        <v>114</v>
      </c>
      <c r="J128" s="28"/>
      <c r="AF128">
        <v>0.1</v>
      </c>
      <c r="AG128">
        <f t="shared" si="11"/>
        <v>0.5249791874789399</v>
      </c>
      <c r="AO128">
        <v>0.1</v>
      </c>
      <c r="AP128">
        <f t="shared" si="12"/>
        <v>0.5249791874789399</v>
      </c>
    </row>
    <row r="129" spans="8:42">
      <c r="H129" t="s">
        <v>111</v>
      </c>
      <c r="AF129">
        <v>0.2</v>
      </c>
      <c r="AG129">
        <f t="shared" si="11"/>
        <v>0.54983399731247784</v>
      </c>
      <c r="AO129">
        <v>0.2</v>
      </c>
      <c r="AP129">
        <f t="shared" si="12"/>
        <v>0.54983399731247784</v>
      </c>
    </row>
    <row r="130" spans="8:42">
      <c r="H130" t="s">
        <v>115</v>
      </c>
      <c r="AF130">
        <v>0.3</v>
      </c>
      <c r="AG130">
        <f t="shared" si="11"/>
        <v>0.57444251681165892</v>
      </c>
      <c r="AO130">
        <v>0.3</v>
      </c>
      <c r="AP130">
        <f t="shared" si="12"/>
        <v>0.57444251681165892</v>
      </c>
    </row>
    <row r="131" spans="8:42">
      <c r="H131" t="s">
        <v>112</v>
      </c>
      <c r="AF131">
        <v>0.4</v>
      </c>
      <c r="AG131">
        <f t="shared" si="11"/>
        <v>0.59868766011245178</v>
      </c>
      <c r="AO131">
        <v>0.4</v>
      </c>
      <c r="AP131">
        <f t="shared" si="12"/>
        <v>0.59868766011245178</v>
      </c>
    </row>
    <row r="132" spans="8:42">
      <c r="H132" s="3" t="s">
        <v>106</v>
      </c>
      <c r="AF132">
        <v>0.5</v>
      </c>
      <c r="AG132">
        <f t="shared" si="11"/>
        <v>0.62245933120185426</v>
      </c>
      <c r="AO132">
        <v>0.5</v>
      </c>
      <c r="AP132">
        <f t="shared" si="12"/>
        <v>0.62245933120185426</v>
      </c>
    </row>
    <row r="133" spans="8:42">
      <c r="AF133">
        <v>0.6</v>
      </c>
      <c r="AG133">
        <f t="shared" si="11"/>
        <v>0.64565630622579528</v>
      </c>
      <c r="AO133">
        <v>0.6</v>
      </c>
      <c r="AP133">
        <f t="shared" si="12"/>
        <v>0.64565630622579528</v>
      </c>
    </row>
    <row r="134" spans="8:42">
      <c r="H134" t="s">
        <v>107</v>
      </c>
      <c r="AF134">
        <v>0.7</v>
      </c>
      <c r="AG134">
        <f t="shared" si="11"/>
        <v>0.66818777216816583</v>
      </c>
      <c r="AO134">
        <v>0.7</v>
      </c>
      <c r="AP134">
        <f t="shared" si="12"/>
        <v>0.66818777216816583</v>
      </c>
    </row>
    <row r="135" spans="8:42">
      <c r="AF135">
        <v>0.8</v>
      </c>
      <c r="AG135">
        <f t="shared" si="11"/>
        <v>0.68997448112761217</v>
      </c>
      <c r="AO135">
        <v>0.8</v>
      </c>
      <c r="AP135">
        <f t="shared" si="12"/>
        <v>0.68997448112761217</v>
      </c>
    </row>
    <row r="136" spans="8:42">
      <c r="AF136">
        <v>0.9</v>
      </c>
      <c r="AG136">
        <f t="shared" si="11"/>
        <v>0.71094950262500356</v>
      </c>
      <c r="AO136">
        <v>0.9</v>
      </c>
      <c r="AP136">
        <f t="shared" si="12"/>
        <v>0.71094950262500356</v>
      </c>
    </row>
    <row r="137" spans="8:42">
      <c r="AF137">
        <v>1</v>
      </c>
      <c r="AG137">
        <f t="shared" si="11"/>
        <v>0.73105857863000456</v>
      </c>
      <c r="AO137">
        <v>1</v>
      </c>
      <c r="AP137">
        <f t="shared" si="12"/>
        <v>0.73105857863000456</v>
      </c>
    </row>
    <row r="138" spans="8:42">
      <c r="AF138">
        <v>1.1000000000000001</v>
      </c>
      <c r="AG138">
        <f t="shared" si="11"/>
        <v>0.75026010559511724</v>
      </c>
      <c r="AO138">
        <v>1.1000000000000001</v>
      </c>
      <c r="AP138">
        <f t="shared" si="12"/>
        <v>0.75026010559511724</v>
      </c>
    </row>
    <row r="139" spans="8:42">
      <c r="AF139">
        <v>1.2</v>
      </c>
      <c r="AG139">
        <f t="shared" si="11"/>
        <v>0.76852478349901732</v>
      </c>
      <c r="AO139">
        <v>1.2</v>
      </c>
      <c r="AP139">
        <f t="shared" si="12"/>
        <v>0.76852478349901732</v>
      </c>
    </row>
    <row r="140" spans="8:42">
      <c r="AF140">
        <v>1.3</v>
      </c>
      <c r="AG140">
        <f t="shared" si="11"/>
        <v>0.78583498304255828</v>
      </c>
      <c r="AO140">
        <v>1.3</v>
      </c>
      <c r="AP140">
        <f t="shared" si="12"/>
        <v>0.78583498304255828</v>
      </c>
    </row>
    <row r="141" spans="8:42">
      <c r="AF141">
        <v>1.4</v>
      </c>
      <c r="AG141">
        <f t="shared" si="11"/>
        <v>0.80218388855858125</v>
      </c>
      <c r="AO141">
        <v>1.4</v>
      </c>
      <c r="AP141">
        <f t="shared" si="12"/>
        <v>0.80218388855858125</v>
      </c>
    </row>
    <row r="142" spans="8:42">
      <c r="AF142">
        <v>1.5</v>
      </c>
      <c r="AG142">
        <f t="shared" si="11"/>
        <v>0.81757447619364332</v>
      </c>
      <c r="AO142">
        <v>1.5</v>
      </c>
      <c r="AP142">
        <f t="shared" si="12"/>
        <v>0.81757447619364332</v>
      </c>
    </row>
    <row r="143" spans="8:42">
      <c r="AF143">
        <v>1.6</v>
      </c>
      <c r="AG143">
        <f t="shared" si="11"/>
        <v>0.83201838513392401</v>
      </c>
      <c r="AO143">
        <v>1.6</v>
      </c>
      <c r="AP143">
        <f t="shared" si="12"/>
        <v>0.83201838513392401</v>
      </c>
    </row>
    <row r="144" spans="8:42">
      <c r="AF144">
        <v>1.7</v>
      </c>
      <c r="AG144">
        <f t="shared" si="11"/>
        <v>0.8455347349164648</v>
      </c>
      <c r="AO144">
        <v>1.7</v>
      </c>
      <c r="AP144">
        <f t="shared" si="12"/>
        <v>0.8455347349164648</v>
      </c>
    </row>
    <row r="145" spans="32:42">
      <c r="AF145">
        <v>1.8</v>
      </c>
      <c r="AG145">
        <f t="shared" si="11"/>
        <v>0.85814893509951173</v>
      </c>
      <c r="AO145">
        <v>1.8</v>
      </c>
      <c r="AP145">
        <f t="shared" si="12"/>
        <v>0.85814893509951173</v>
      </c>
    </row>
    <row r="146" spans="32:42">
      <c r="AF146">
        <v>1.9</v>
      </c>
      <c r="AG146">
        <f t="shared" si="11"/>
        <v>0.86989152563700178</v>
      </c>
      <c r="AO146">
        <v>1.9</v>
      </c>
      <c r="AP146">
        <f t="shared" si="12"/>
        <v>0.86989152563700178</v>
      </c>
    </row>
    <row r="147" spans="32:42">
      <c r="AF147">
        <v>2</v>
      </c>
      <c r="AG147">
        <f t="shared" si="11"/>
        <v>0.88079707797788198</v>
      </c>
      <c r="AO147">
        <v>2</v>
      </c>
      <c r="AP147">
        <f t="shared" si="12"/>
        <v>0.88079707797788198</v>
      </c>
    </row>
    <row r="148" spans="32:42">
      <c r="AO148">
        <v>100</v>
      </c>
      <c r="AP148">
        <f>W126</f>
        <v>1</v>
      </c>
    </row>
  </sheetData>
  <mergeCells count="3">
    <mergeCell ref="B1:G1"/>
    <mergeCell ref="A29:E29"/>
    <mergeCell ref="A60:E60"/>
  </mergeCells>
  <phoneticPr fontId="5"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
  <sheetViews>
    <sheetView zoomScale="145" zoomScaleNormal="145" workbookViewId="0">
      <selection activeCell="N18" sqref="N18"/>
    </sheetView>
  </sheetViews>
  <sheetFormatPr defaultRowHeight="16.5"/>
  <sheetData/>
  <phoneticPr fontId="5"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P191"/>
  <sheetViews>
    <sheetView topLeftCell="M163" zoomScaleNormal="100" workbookViewId="0">
      <selection activeCell="T166" sqref="T166"/>
    </sheetView>
  </sheetViews>
  <sheetFormatPr defaultRowHeight="16.5"/>
  <cols>
    <col min="10" max="10" width="9" style="15"/>
    <col min="15" max="15" width="13.125" bestFit="1" customWidth="1"/>
    <col min="23" max="23" width="13.125" bestFit="1" customWidth="1"/>
    <col min="26" max="26" width="27" customWidth="1"/>
    <col min="33" max="33" width="14.25" bestFit="1" customWidth="1"/>
    <col min="42" max="42" width="14.25" bestFit="1" customWidth="1"/>
  </cols>
  <sheetData>
    <row r="1" spans="1:8">
      <c r="A1" s="15" t="s">
        <v>88</v>
      </c>
      <c r="B1" s="518" t="s">
        <v>90</v>
      </c>
      <c r="C1" s="518"/>
      <c r="D1" s="518"/>
      <c r="E1" s="518"/>
      <c r="F1" s="518"/>
      <c r="G1" s="518"/>
      <c r="H1" s="15" t="s">
        <v>89</v>
      </c>
    </row>
    <row r="2" spans="1:8">
      <c r="B2" s="27">
        <v>2</v>
      </c>
      <c r="C2" s="27">
        <v>1</v>
      </c>
      <c r="D2" s="27">
        <v>0.5</v>
      </c>
      <c r="E2" s="27">
        <v>0</v>
      </c>
      <c r="F2" s="27">
        <v>-1</v>
      </c>
      <c r="G2" s="27">
        <v>-2</v>
      </c>
    </row>
    <row r="3" spans="1:8">
      <c r="A3">
        <v>-10</v>
      </c>
      <c r="B3" t="e">
        <f>LOG(A3,$B$2)</f>
        <v>#NUM!</v>
      </c>
    </row>
    <row r="4" spans="1:8">
      <c r="A4">
        <v>-9</v>
      </c>
      <c r="B4" t="e">
        <f t="shared" ref="B4:B67" si="0">LOG(A4,$B$2)</f>
        <v>#NUM!</v>
      </c>
    </row>
    <row r="5" spans="1:8">
      <c r="A5">
        <v>-8</v>
      </c>
      <c r="B5" t="e">
        <f t="shared" si="0"/>
        <v>#NUM!</v>
      </c>
    </row>
    <row r="6" spans="1:8">
      <c r="A6">
        <v>-7</v>
      </c>
      <c r="B6" t="e">
        <f t="shared" si="0"/>
        <v>#NUM!</v>
      </c>
    </row>
    <row r="7" spans="1:8">
      <c r="A7">
        <v>-6</v>
      </c>
      <c r="B7" t="e">
        <f t="shared" si="0"/>
        <v>#NUM!</v>
      </c>
    </row>
    <row r="8" spans="1:8">
      <c r="A8">
        <v>-5</v>
      </c>
      <c r="B8" t="e">
        <f t="shared" si="0"/>
        <v>#NUM!</v>
      </c>
    </row>
    <row r="9" spans="1:8">
      <c r="A9">
        <v>-4</v>
      </c>
      <c r="B9" t="e">
        <f t="shared" si="0"/>
        <v>#NUM!</v>
      </c>
    </row>
    <row r="10" spans="1:8">
      <c r="A10">
        <v>-3</v>
      </c>
      <c r="B10" t="e">
        <f t="shared" si="0"/>
        <v>#NUM!</v>
      </c>
    </row>
    <row r="11" spans="1:8">
      <c r="A11">
        <v>-2</v>
      </c>
      <c r="B11" t="e">
        <f t="shared" si="0"/>
        <v>#NUM!</v>
      </c>
    </row>
    <row r="12" spans="1:8">
      <c r="A12">
        <v>-1</v>
      </c>
      <c r="B12" t="e">
        <f t="shared" si="0"/>
        <v>#NUM!</v>
      </c>
    </row>
    <row r="13" spans="1:8">
      <c r="A13">
        <v>0</v>
      </c>
      <c r="B13" t="e">
        <f t="shared" si="0"/>
        <v>#NUM!</v>
      </c>
    </row>
    <row r="14" spans="1:8">
      <c r="A14">
        <v>0.1</v>
      </c>
      <c r="B14">
        <f t="shared" si="0"/>
        <v>-3.3219280948873622</v>
      </c>
    </row>
    <row r="15" spans="1:8">
      <c r="A15">
        <v>0.2</v>
      </c>
      <c r="B15">
        <f t="shared" si="0"/>
        <v>-2.3219280948873622</v>
      </c>
    </row>
    <row r="16" spans="1:8">
      <c r="A16">
        <v>0.3</v>
      </c>
      <c r="B16">
        <f t="shared" si="0"/>
        <v>-1.7369655941662063</v>
      </c>
    </row>
    <row r="17" spans="1:2">
      <c r="A17">
        <v>0.4</v>
      </c>
      <c r="B17">
        <f t="shared" si="0"/>
        <v>-1.3219280948873622</v>
      </c>
    </row>
    <row r="18" spans="1:2">
      <c r="A18">
        <v>0.5</v>
      </c>
      <c r="B18">
        <f t="shared" si="0"/>
        <v>-1</v>
      </c>
    </row>
    <row r="19" spans="1:2">
      <c r="A19">
        <v>0.6</v>
      </c>
      <c r="B19">
        <f t="shared" si="0"/>
        <v>-0.73696559416620622</v>
      </c>
    </row>
    <row r="20" spans="1:2">
      <c r="A20">
        <v>0.7</v>
      </c>
      <c r="B20">
        <f t="shared" si="0"/>
        <v>-0.51457317282975834</v>
      </c>
    </row>
    <row r="21" spans="1:2">
      <c r="A21">
        <v>0.8</v>
      </c>
      <c r="B21">
        <f t="shared" si="0"/>
        <v>-0.32192809488736229</v>
      </c>
    </row>
    <row r="22" spans="1:2">
      <c r="A22">
        <v>0.9</v>
      </c>
      <c r="B22">
        <f t="shared" si="0"/>
        <v>-0.15200309344504997</v>
      </c>
    </row>
    <row r="23" spans="1:2">
      <c r="A23">
        <v>1</v>
      </c>
      <c r="B23">
        <f t="shared" si="0"/>
        <v>0</v>
      </c>
    </row>
    <row r="24" spans="1:2">
      <c r="A24">
        <v>1.1000000000000001</v>
      </c>
      <c r="B24">
        <f t="shared" si="0"/>
        <v>0.13750352374993502</v>
      </c>
    </row>
    <row r="25" spans="1:2">
      <c r="A25">
        <v>1.2</v>
      </c>
      <c r="B25">
        <f t="shared" si="0"/>
        <v>0.26303440583379378</v>
      </c>
    </row>
    <row r="26" spans="1:2">
      <c r="A26">
        <v>1.3</v>
      </c>
      <c r="B26">
        <f t="shared" si="0"/>
        <v>0.37851162325372983</v>
      </c>
    </row>
    <row r="27" spans="1:2">
      <c r="A27">
        <v>1.4</v>
      </c>
      <c r="B27">
        <f t="shared" si="0"/>
        <v>0.48542682717024171</v>
      </c>
    </row>
    <row r="28" spans="1:2">
      <c r="A28">
        <v>1.5</v>
      </c>
      <c r="B28">
        <f t="shared" si="0"/>
        <v>0.58496250072115619</v>
      </c>
    </row>
    <row r="29" spans="1:2">
      <c r="A29">
        <v>1.6</v>
      </c>
      <c r="B29">
        <f t="shared" si="0"/>
        <v>0.67807190511263782</v>
      </c>
    </row>
    <row r="30" spans="1:2">
      <c r="A30">
        <v>1.7</v>
      </c>
      <c r="B30">
        <f t="shared" si="0"/>
        <v>0.76553474636297703</v>
      </c>
    </row>
    <row r="31" spans="1:2">
      <c r="A31">
        <v>1.8</v>
      </c>
      <c r="B31">
        <f t="shared" si="0"/>
        <v>0.84799690655495008</v>
      </c>
    </row>
    <row r="32" spans="1:2">
      <c r="A32">
        <v>1.9</v>
      </c>
      <c r="B32">
        <f t="shared" si="0"/>
        <v>0.92599941855622303</v>
      </c>
    </row>
    <row r="33" spans="1:42">
      <c r="A33">
        <v>2</v>
      </c>
      <c r="B33">
        <f t="shared" si="0"/>
        <v>1</v>
      </c>
    </row>
    <row r="34" spans="1:42">
      <c r="A34">
        <v>2.1</v>
      </c>
      <c r="B34">
        <f t="shared" si="0"/>
        <v>1.0703893278913981</v>
      </c>
    </row>
    <row r="35" spans="1:42">
      <c r="A35">
        <v>2.2000000000000002</v>
      </c>
      <c r="B35">
        <f t="shared" si="0"/>
        <v>1.1375035237499351</v>
      </c>
    </row>
    <row r="36" spans="1:42">
      <c r="A36">
        <v>2.2999999999999998</v>
      </c>
      <c r="B36">
        <f t="shared" si="0"/>
        <v>1.2016338611696504</v>
      </c>
      <c r="AF36">
        <v>1.8</v>
      </c>
      <c r="AG36" t="e">
        <f>1 / ( 1 +#REF!^(- AF36))</f>
        <v>#REF!</v>
      </c>
      <c r="AO36">
        <v>1.8</v>
      </c>
      <c r="AP36" t="e">
        <f>1 / ( 1 +#REF!^(- AO36))</f>
        <v>#REF!</v>
      </c>
    </row>
    <row r="37" spans="1:42">
      <c r="A37">
        <v>2.4</v>
      </c>
      <c r="B37">
        <f t="shared" si="0"/>
        <v>1.2630344058337937</v>
      </c>
      <c r="AF37">
        <v>1.9</v>
      </c>
      <c r="AG37" t="e">
        <f>1 / ( 1 +#REF!^(- AF37))</f>
        <v>#REF!</v>
      </c>
      <c r="AO37">
        <v>1.9</v>
      </c>
      <c r="AP37" t="e">
        <f>1 / ( 1 +#REF!^(- AO37))</f>
        <v>#REF!</v>
      </c>
    </row>
    <row r="38" spans="1:42">
      <c r="A38">
        <v>2.5</v>
      </c>
      <c r="B38">
        <f t="shared" si="0"/>
        <v>1.3219280948873624</v>
      </c>
      <c r="AF38">
        <v>2</v>
      </c>
      <c r="AG38" t="e">
        <f>1 / ( 1 +#REF!^(- AF38))</f>
        <v>#REF!</v>
      </c>
      <c r="AO38">
        <v>2</v>
      </c>
      <c r="AP38" t="e">
        <f>1 / ( 1 +#REF!^(- AO38))</f>
        <v>#REF!</v>
      </c>
    </row>
    <row r="39" spans="1:42">
      <c r="A39">
        <v>2.6</v>
      </c>
      <c r="B39">
        <f t="shared" si="0"/>
        <v>1.3785116232537298</v>
      </c>
      <c r="AO39">
        <v>100</v>
      </c>
      <c r="AP39" t="e">
        <f>#REF!</f>
        <v>#REF!</v>
      </c>
    </row>
    <row r="40" spans="1:42">
      <c r="A40">
        <v>2.7</v>
      </c>
      <c r="B40">
        <f t="shared" si="0"/>
        <v>1.4329594072761063</v>
      </c>
    </row>
    <row r="41" spans="1:42">
      <c r="A41">
        <v>2.8</v>
      </c>
      <c r="B41">
        <f t="shared" si="0"/>
        <v>1.4854268271702415</v>
      </c>
    </row>
    <row r="42" spans="1:42">
      <c r="A42">
        <v>2.9</v>
      </c>
      <c r="B42">
        <f t="shared" si="0"/>
        <v>1.5360529002402097</v>
      </c>
    </row>
    <row r="43" spans="1:42">
      <c r="A43">
        <v>3</v>
      </c>
      <c r="B43">
        <f t="shared" si="0"/>
        <v>1.5849625007211563</v>
      </c>
    </row>
    <row r="44" spans="1:42">
      <c r="A44">
        <v>3.1</v>
      </c>
      <c r="B44">
        <f t="shared" si="0"/>
        <v>1.632268215499513</v>
      </c>
    </row>
    <row r="45" spans="1:42">
      <c r="A45">
        <v>3.2</v>
      </c>
      <c r="B45">
        <f t="shared" si="0"/>
        <v>1.6780719051126378</v>
      </c>
    </row>
    <row r="46" spans="1:42">
      <c r="A46">
        <v>3.3</v>
      </c>
      <c r="B46">
        <f t="shared" si="0"/>
        <v>1.7224660244710912</v>
      </c>
    </row>
    <row r="47" spans="1:42">
      <c r="A47">
        <v>3.4</v>
      </c>
      <c r="B47">
        <f t="shared" si="0"/>
        <v>1.7655347463629771</v>
      </c>
    </row>
    <row r="48" spans="1:42">
      <c r="A48">
        <v>3.5</v>
      </c>
      <c r="B48">
        <f t="shared" si="0"/>
        <v>1.8073549220576042</v>
      </c>
    </row>
    <row r="49" spans="1:2">
      <c r="A49">
        <v>3.6</v>
      </c>
      <c r="B49">
        <f t="shared" si="0"/>
        <v>1.84799690655495</v>
      </c>
    </row>
    <row r="50" spans="1:2">
      <c r="A50">
        <v>3.7</v>
      </c>
      <c r="B50">
        <f t="shared" si="0"/>
        <v>1.8875252707415877</v>
      </c>
    </row>
    <row r="51" spans="1:2">
      <c r="A51">
        <v>3.8</v>
      </c>
      <c r="B51">
        <f t="shared" si="0"/>
        <v>1.925999418556223</v>
      </c>
    </row>
    <row r="52" spans="1:2">
      <c r="A52">
        <v>3.9</v>
      </c>
      <c r="B52">
        <f t="shared" si="0"/>
        <v>1.9634741239748859</v>
      </c>
    </row>
    <row r="53" spans="1:2">
      <c r="A53">
        <v>4</v>
      </c>
      <c r="B53">
        <f t="shared" si="0"/>
        <v>2</v>
      </c>
    </row>
    <row r="54" spans="1:2">
      <c r="A54">
        <v>4.0999999999999996</v>
      </c>
      <c r="B54">
        <f t="shared" si="0"/>
        <v>2.0356239097307212</v>
      </c>
    </row>
    <row r="55" spans="1:2">
      <c r="A55">
        <v>4.2</v>
      </c>
      <c r="B55">
        <f t="shared" si="0"/>
        <v>2.0703893278913981</v>
      </c>
    </row>
    <row r="56" spans="1:2">
      <c r="A56">
        <v>4.3</v>
      </c>
      <c r="B56">
        <f t="shared" si="0"/>
        <v>2.1043366598147357</v>
      </c>
    </row>
    <row r="57" spans="1:2">
      <c r="A57">
        <v>4.4000000000000004</v>
      </c>
      <c r="B57">
        <f t="shared" si="0"/>
        <v>2.1375035237499351</v>
      </c>
    </row>
    <row r="58" spans="1:2">
      <c r="A58">
        <v>4.5</v>
      </c>
      <c r="B58">
        <f t="shared" si="0"/>
        <v>2.1699250014423126</v>
      </c>
    </row>
    <row r="59" spans="1:2">
      <c r="A59">
        <v>4.5999999999999996</v>
      </c>
      <c r="B59">
        <f t="shared" si="0"/>
        <v>2.2016338611696504</v>
      </c>
    </row>
    <row r="60" spans="1:2">
      <c r="A60">
        <v>4.7</v>
      </c>
      <c r="B60">
        <f t="shared" si="0"/>
        <v>2.232660756790275</v>
      </c>
    </row>
    <row r="61" spans="1:2">
      <c r="A61">
        <v>4.8</v>
      </c>
      <c r="B61">
        <f t="shared" si="0"/>
        <v>2.2630344058337939</v>
      </c>
    </row>
    <row r="62" spans="1:2">
      <c r="A62">
        <v>4.9000000000000004</v>
      </c>
      <c r="B62">
        <f t="shared" si="0"/>
        <v>2.2927817492278462</v>
      </c>
    </row>
    <row r="63" spans="1:2">
      <c r="A63">
        <v>5</v>
      </c>
      <c r="B63">
        <f t="shared" si="0"/>
        <v>2.3219280948873622</v>
      </c>
    </row>
    <row r="64" spans="1:2">
      <c r="A64">
        <v>5.0999999999999996</v>
      </c>
      <c r="B64">
        <f t="shared" si="0"/>
        <v>2.3504972470841334</v>
      </c>
    </row>
    <row r="65" spans="1:10">
      <c r="A65">
        <v>5.2</v>
      </c>
      <c r="B65">
        <f t="shared" si="0"/>
        <v>2.37851162325373</v>
      </c>
    </row>
    <row r="66" spans="1:10">
      <c r="A66">
        <v>5.3</v>
      </c>
      <c r="B66">
        <f t="shared" si="0"/>
        <v>2.4059923596758366</v>
      </c>
    </row>
    <row r="67" spans="1:10">
      <c r="A67">
        <v>5.4</v>
      </c>
      <c r="B67">
        <f t="shared" si="0"/>
        <v>2.4329594072761065</v>
      </c>
    </row>
    <row r="68" spans="1:10">
      <c r="A68">
        <v>5.5</v>
      </c>
      <c r="B68">
        <f t="shared" ref="B68:B74" si="1">LOG(A68,$B$2)</f>
        <v>2.4594316186372973</v>
      </c>
    </row>
    <row r="69" spans="1:10">
      <c r="A69">
        <v>5.6</v>
      </c>
      <c r="B69">
        <f t="shared" si="1"/>
        <v>2.485426827170242</v>
      </c>
    </row>
    <row r="70" spans="1:10">
      <c r="A70">
        <v>5.7</v>
      </c>
      <c r="B70">
        <f t="shared" si="1"/>
        <v>2.5109619192773796</v>
      </c>
    </row>
    <row r="71" spans="1:10">
      <c r="A71">
        <v>5.8</v>
      </c>
      <c r="B71">
        <f t="shared" si="1"/>
        <v>2.5360529002402097</v>
      </c>
    </row>
    <row r="72" spans="1:10">
      <c r="A72">
        <v>5.9</v>
      </c>
      <c r="B72">
        <f t="shared" si="1"/>
        <v>2.5607149544744789</v>
      </c>
    </row>
    <row r="73" spans="1:10">
      <c r="A73">
        <v>6</v>
      </c>
      <c r="B73">
        <f t="shared" si="1"/>
        <v>2.5849625007211561</v>
      </c>
    </row>
    <row r="74" spans="1:10">
      <c r="A74">
        <v>6.1</v>
      </c>
      <c r="B74">
        <f t="shared" si="1"/>
        <v>2.6088092426755241</v>
      </c>
    </row>
    <row r="80" spans="1:10" s="1" customFormat="1">
      <c r="B80" s="1" t="s">
        <v>205</v>
      </c>
      <c r="J80" s="28"/>
    </row>
    <row r="103" spans="2:22" s="1" customFormat="1">
      <c r="B103" s="1" t="s">
        <v>207</v>
      </c>
      <c r="F103" s="1" t="s">
        <v>206</v>
      </c>
      <c r="J103" s="28"/>
    </row>
    <row r="104" spans="2:22">
      <c r="P104" s="15" t="s">
        <v>209</v>
      </c>
      <c r="Q104">
        <f>EXP(1)</f>
        <v>2.7182818284590451</v>
      </c>
    </row>
    <row r="108" spans="2:22">
      <c r="O108" s="15" t="s">
        <v>208</v>
      </c>
      <c r="P108" s="15" t="s">
        <v>210</v>
      </c>
      <c r="Q108" s="15" t="s">
        <v>211</v>
      </c>
      <c r="R108" s="15" t="s">
        <v>212</v>
      </c>
      <c r="V108" t="s">
        <v>213</v>
      </c>
    </row>
    <row r="114" spans="15:18">
      <c r="O114">
        <v>-0.2</v>
      </c>
      <c r="P114">
        <f t="shared" ref="P114:P129" si="2">1-O114</f>
        <v>1.2</v>
      </c>
      <c r="Q114">
        <f t="shared" ref="Q114:Q125" si="3">-LOG(P114)</f>
        <v>-7.9181246047624818E-2</v>
      </c>
    </row>
    <row r="115" spans="15:18">
      <c r="O115">
        <v>-0.1</v>
      </c>
      <c r="P115">
        <f t="shared" si="2"/>
        <v>1.1000000000000001</v>
      </c>
      <c r="Q115">
        <f t="shared" si="3"/>
        <v>-4.1392685158225077E-2</v>
      </c>
    </row>
    <row r="116" spans="15:18">
      <c r="O116">
        <v>0</v>
      </c>
      <c r="P116">
        <f t="shared" si="2"/>
        <v>1</v>
      </c>
      <c r="Q116">
        <f t="shared" si="3"/>
        <v>0</v>
      </c>
    </row>
    <row r="117" spans="15:18">
      <c r="O117">
        <v>0.1</v>
      </c>
      <c r="P117">
        <f t="shared" si="2"/>
        <v>0.9</v>
      </c>
      <c r="Q117">
        <f t="shared" si="3"/>
        <v>4.5757490560675115E-2</v>
      </c>
      <c r="R117">
        <f t="shared" ref="R117:R129" si="4">-LOG(O117)</f>
        <v>1</v>
      </c>
    </row>
    <row r="118" spans="15:18">
      <c r="O118">
        <v>0.2</v>
      </c>
      <c r="P118">
        <f t="shared" si="2"/>
        <v>0.8</v>
      </c>
      <c r="Q118">
        <f t="shared" si="3"/>
        <v>9.6910013008056392E-2</v>
      </c>
      <c r="R118">
        <f t="shared" si="4"/>
        <v>0.69897000433601875</v>
      </c>
    </row>
    <row r="119" spans="15:18">
      <c r="O119">
        <v>0.3</v>
      </c>
      <c r="P119">
        <f t="shared" si="2"/>
        <v>0.7</v>
      </c>
      <c r="Q119">
        <f t="shared" si="3"/>
        <v>0.15490195998574319</v>
      </c>
      <c r="R119">
        <f t="shared" si="4"/>
        <v>0.52287874528033762</v>
      </c>
    </row>
    <row r="120" spans="15:18">
      <c r="O120">
        <v>0.4</v>
      </c>
      <c r="P120">
        <f t="shared" si="2"/>
        <v>0.6</v>
      </c>
      <c r="Q120">
        <f t="shared" si="3"/>
        <v>0.22184874961635639</v>
      </c>
      <c r="R120">
        <f t="shared" si="4"/>
        <v>0.3979400086720376</v>
      </c>
    </row>
    <row r="121" spans="15:18">
      <c r="O121">
        <v>0.5</v>
      </c>
      <c r="P121">
        <f t="shared" si="2"/>
        <v>0.5</v>
      </c>
      <c r="Q121">
        <f t="shared" si="3"/>
        <v>0.3010299956639812</v>
      </c>
      <c r="R121">
        <f t="shared" si="4"/>
        <v>0.3010299956639812</v>
      </c>
    </row>
    <row r="122" spans="15:18">
      <c r="O122">
        <v>0.6</v>
      </c>
      <c r="P122">
        <f t="shared" si="2"/>
        <v>0.4</v>
      </c>
      <c r="Q122">
        <f t="shared" si="3"/>
        <v>0.3979400086720376</v>
      </c>
      <c r="R122">
        <f t="shared" si="4"/>
        <v>0.22184874961635639</v>
      </c>
    </row>
    <row r="123" spans="15:18">
      <c r="O123">
        <v>0.7</v>
      </c>
      <c r="P123">
        <f t="shared" si="2"/>
        <v>0.30000000000000004</v>
      </c>
      <c r="Q123">
        <f t="shared" si="3"/>
        <v>0.52287874528033751</v>
      </c>
      <c r="R123">
        <f t="shared" si="4"/>
        <v>0.15490195998574319</v>
      </c>
    </row>
    <row r="124" spans="15:18">
      <c r="O124">
        <v>0.8</v>
      </c>
      <c r="P124">
        <f t="shared" si="2"/>
        <v>0.19999999999999996</v>
      </c>
      <c r="Q124">
        <f t="shared" si="3"/>
        <v>0.69897000433601886</v>
      </c>
      <c r="R124">
        <f t="shared" si="4"/>
        <v>9.6910013008056392E-2</v>
      </c>
    </row>
    <row r="125" spans="15:18">
      <c r="O125">
        <v>0.9</v>
      </c>
      <c r="P125">
        <f t="shared" si="2"/>
        <v>9.9999999999999978E-2</v>
      </c>
      <c r="Q125">
        <f t="shared" si="3"/>
        <v>1</v>
      </c>
      <c r="R125">
        <f t="shared" si="4"/>
        <v>4.5757490560675115E-2</v>
      </c>
    </row>
    <row r="126" spans="15:18">
      <c r="O126">
        <v>1</v>
      </c>
      <c r="P126">
        <f t="shared" si="2"/>
        <v>0</v>
      </c>
      <c r="R126">
        <f t="shared" si="4"/>
        <v>0</v>
      </c>
    </row>
    <row r="127" spans="15:18">
      <c r="O127">
        <v>1.1000000000000001</v>
      </c>
      <c r="P127">
        <f t="shared" si="2"/>
        <v>-0.10000000000000009</v>
      </c>
      <c r="R127">
        <f t="shared" si="4"/>
        <v>-4.1392685158225077E-2</v>
      </c>
    </row>
    <row r="128" spans="15:18">
      <c r="O128">
        <v>1.2</v>
      </c>
      <c r="P128">
        <f t="shared" si="2"/>
        <v>-0.19999999999999996</v>
      </c>
      <c r="R128">
        <f t="shared" si="4"/>
        <v>-7.9181246047624818E-2</v>
      </c>
    </row>
    <row r="129" spans="3:18">
      <c r="O129">
        <v>1.3</v>
      </c>
      <c r="P129">
        <f t="shared" si="2"/>
        <v>-0.30000000000000004</v>
      </c>
      <c r="R129">
        <f t="shared" si="4"/>
        <v>-0.11394335230683679</v>
      </c>
    </row>
    <row r="131" spans="3:18" ht="20.25">
      <c r="D131" s="70" t="s">
        <v>214</v>
      </c>
    </row>
    <row r="132" spans="3:18" ht="20.25">
      <c r="D132" s="70" t="s">
        <v>215</v>
      </c>
    </row>
    <row r="135" spans="3:18" ht="20.25">
      <c r="D135" s="71" t="s">
        <v>216</v>
      </c>
    </row>
    <row r="136" spans="3:18" ht="20.25">
      <c r="D136" s="71" t="s">
        <v>217</v>
      </c>
    </row>
    <row r="142" spans="3:18" s="1" customFormat="1">
      <c r="J142" s="28"/>
    </row>
    <row r="143" spans="3:18">
      <c r="C143" s="516" t="s">
        <v>1762</v>
      </c>
      <c r="D143" s="516"/>
      <c r="E143" s="516"/>
      <c r="F143" s="516"/>
      <c r="H143" s="516" t="s">
        <v>1763</v>
      </c>
      <c r="I143" s="516"/>
      <c r="J143" s="516"/>
    </row>
    <row r="144" spans="3:18">
      <c r="C144">
        <f>-10</f>
        <v>-10</v>
      </c>
      <c r="D144">
        <v>1</v>
      </c>
      <c r="E144">
        <v>-1</v>
      </c>
      <c r="F144">
        <v>10</v>
      </c>
      <c r="H144">
        <f>-10</f>
        <v>-10</v>
      </c>
      <c r="I144">
        <v>1</v>
      </c>
      <c r="J144">
        <v>-1</v>
      </c>
      <c r="K144">
        <v>10</v>
      </c>
    </row>
    <row r="146" spans="3:15">
      <c r="D146" s="328" t="s">
        <v>1764</v>
      </c>
      <c r="N146" s="327" t="s">
        <v>37</v>
      </c>
      <c r="O146" s="327" t="s">
        <v>38</v>
      </c>
    </row>
    <row r="147" spans="3:15">
      <c r="C147" s="327" t="s">
        <v>37</v>
      </c>
      <c r="D147" s="327" t="s">
        <v>38</v>
      </c>
      <c r="N147">
        <v>-10</v>
      </c>
      <c r="O147">
        <f>1 / (1 + EXP(-($F$144*N147+$I$144)))</f>
        <v>1.0112214926104486E-43</v>
      </c>
    </row>
    <row r="148" spans="3:15">
      <c r="C148">
        <v>-10</v>
      </c>
      <c r="D148">
        <f>1 / (1 + EXP(-C148))</f>
        <v>4.5397868702434395E-5</v>
      </c>
      <c r="N148">
        <v>-9</v>
      </c>
      <c r="O148">
        <f t="shared" ref="O148:O167" si="5">1 / (1 + EXP(-($F$144*N148+$I$144)))</f>
        <v>2.2273635617957434E-39</v>
      </c>
    </row>
    <row r="149" spans="3:15">
      <c r="C149">
        <v>-9</v>
      </c>
      <c r="D149">
        <f t="shared" ref="D149:D168" si="6">1 / (1 + EXP(-C149))</f>
        <v>1.2339457598623172E-4</v>
      </c>
      <c r="N149">
        <v>-8</v>
      </c>
      <c r="O149">
        <f t="shared" si="5"/>
        <v>4.9060947306492808E-35</v>
      </c>
    </row>
    <row r="150" spans="3:15">
      <c r="C150">
        <v>-8</v>
      </c>
      <c r="D150">
        <f t="shared" si="6"/>
        <v>3.3535013046647811E-4</v>
      </c>
      <c r="N150">
        <v>-7</v>
      </c>
      <c r="O150">
        <f t="shared" si="5"/>
        <v>1.0806392777072785E-30</v>
      </c>
    </row>
    <row r="151" spans="3:15">
      <c r="C151">
        <v>-7</v>
      </c>
      <c r="D151">
        <f t="shared" si="6"/>
        <v>9.1105119440064539E-4</v>
      </c>
      <c r="N151">
        <v>-6</v>
      </c>
      <c r="O151">
        <f t="shared" si="5"/>
        <v>2.3802664086944004E-26</v>
      </c>
    </row>
    <row r="152" spans="3:15">
      <c r="C152">
        <v>-6</v>
      </c>
      <c r="D152">
        <f t="shared" si="6"/>
        <v>2.4726231566347743E-3</v>
      </c>
      <c r="N152">
        <v>-5</v>
      </c>
      <c r="O152">
        <f t="shared" si="5"/>
        <v>5.2428856633634639E-22</v>
      </c>
    </row>
    <row r="153" spans="3:15">
      <c r="C153">
        <v>-5</v>
      </c>
      <c r="D153">
        <f t="shared" si="6"/>
        <v>6.6928509242848554E-3</v>
      </c>
      <c r="N153">
        <v>-4</v>
      </c>
      <c r="O153">
        <f t="shared" si="5"/>
        <v>1.1548224173015786E-17</v>
      </c>
    </row>
    <row r="154" spans="3:15">
      <c r="C154">
        <v>-4</v>
      </c>
      <c r="D154">
        <f t="shared" si="6"/>
        <v>1.7986209962091559E-2</v>
      </c>
      <c r="N154">
        <v>-3</v>
      </c>
      <c r="O154">
        <f t="shared" si="5"/>
        <v>2.543665647376276E-13</v>
      </c>
    </row>
    <row r="155" spans="3:15">
      <c r="C155">
        <v>-3</v>
      </c>
      <c r="D155">
        <f t="shared" si="6"/>
        <v>4.7425873177566781E-2</v>
      </c>
      <c r="N155">
        <v>-2</v>
      </c>
      <c r="O155">
        <f t="shared" si="5"/>
        <v>5.6027964061459406E-9</v>
      </c>
    </row>
    <row r="156" spans="3:15">
      <c r="C156">
        <v>-2</v>
      </c>
      <c r="D156">
        <f t="shared" si="6"/>
        <v>0.11920292202211755</v>
      </c>
      <c r="N156">
        <v>-1</v>
      </c>
      <c r="O156">
        <f t="shared" si="5"/>
        <v>1.2339457598623172E-4</v>
      </c>
    </row>
    <row r="157" spans="3:15">
      <c r="C157">
        <v>-1</v>
      </c>
      <c r="D157">
        <f t="shared" si="6"/>
        <v>0.2689414213699951</v>
      </c>
      <c r="N157">
        <v>0</v>
      </c>
      <c r="O157">
        <f t="shared" si="5"/>
        <v>0.7310585786300049</v>
      </c>
    </row>
    <row r="158" spans="3:15">
      <c r="C158">
        <v>0</v>
      </c>
      <c r="D158">
        <f t="shared" si="6"/>
        <v>0.5</v>
      </c>
      <c r="N158">
        <v>1</v>
      </c>
      <c r="O158">
        <f t="shared" si="5"/>
        <v>0.99998329857815205</v>
      </c>
    </row>
    <row r="159" spans="3:15">
      <c r="C159">
        <v>1</v>
      </c>
      <c r="D159">
        <f t="shared" si="6"/>
        <v>0.7310585786300049</v>
      </c>
      <c r="N159">
        <v>2</v>
      </c>
      <c r="O159">
        <f t="shared" si="5"/>
        <v>0.99999999924174388</v>
      </c>
    </row>
    <row r="160" spans="3:15">
      <c r="C160">
        <v>2</v>
      </c>
      <c r="D160">
        <f t="shared" si="6"/>
        <v>0.88079707797788231</v>
      </c>
      <c r="N160">
        <v>3</v>
      </c>
      <c r="O160">
        <f t="shared" si="5"/>
        <v>0.99999999999996558</v>
      </c>
    </row>
    <row r="161" spans="3:15">
      <c r="C161">
        <v>3</v>
      </c>
      <c r="D161">
        <f t="shared" si="6"/>
        <v>0.95257412682243336</v>
      </c>
      <c r="N161">
        <v>4</v>
      </c>
      <c r="O161">
        <f t="shared" si="5"/>
        <v>1</v>
      </c>
    </row>
    <row r="162" spans="3:15">
      <c r="C162">
        <v>4</v>
      </c>
      <c r="D162">
        <f t="shared" si="6"/>
        <v>0.98201379003790845</v>
      </c>
      <c r="N162">
        <v>5</v>
      </c>
      <c r="O162">
        <f t="shared" si="5"/>
        <v>1</v>
      </c>
    </row>
    <row r="163" spans="3:15">
      <c r="C163">
        <v>5</v>
      </c>
      <c r="D163">
        <f t="shared" si="6"/>
        <v>0.99330714907571527</v>
      </c>
      <c r="N163">
        <v>6</v>
      </c>
      <c r="O163">
        <f t="shared" si="5"/>
        <v>1</v>
      </c>
    </row>
    <row r="164" spans="3:15">
      <c r="C164">
        <v>6</v>
      </c>
      <c r="D164">
        <f t="shared" si="6"/>
        <v>0.99752737684336534</v>
      </c>
      <c r="N164">
        <v>7</v>
      </c>
      <c r="O164">
        <f t="shared" si="5"/>
        <v>1</v>
      </c>
    </row>
    <row r="165" spans="3:15">
      <c r="C165">
        <v>7</v>
      </c>
      <c r="D165">
        <f t="shared" si="6"/>
        <v>0.9990889488055994</v>
      </c>
      <c r="N165">
        <v>8</v>
      </c>
      <c r="O165">
        <f t="shared" si="5"/>
        <v>1</v>
      </c>
    </row>
    <row r="166" spans="3:15">
      <c r="C166">
        <v>8</v>
      </c>
      <c r="D166">
        <f t="shared" si="6"/>
        <v>0.99966464986953363</v>
      </c>
      <c r="N166">
        <v>9</v>
      </c>
      <c r="O166">
        <f t="shared" si="5"/>
        <v>1</v>
      </c>
    </row>
    <row r="167" spans="3:15">
      <c r="C167">
        <v>9</v>
      </c>
      <c r="D167">
        <f t="shared" si="6"/>
        <v>0.99987660542401369</v>
      </c>
      <c r="N167">
        <v>10</v>
      </c>
      <c r="O167">
        <f t="shared" si="5"/>
        <v>1</v>
      </c>
    </row>
    <row r="168" spans="3:15">
      <c r="C168">
        <v>10</v>
      </c>
      <c r="D168">
        <f t="shared" si="6"/>
        <v>0.99995460213129761</v>
      </c>
    </row>
    <row r="170" spans="3:15">
      <c r="N170" s="327" t="s">
        <v>37</v>
      </c>
      <c r="O170" s="327" t="s">
        <v>38</v>
      </c>
    </row>
    <row r="171" spans="3:15">
      <c r="N171">
        <v>-10</v>
      </c>
      <c r="O171">
        <f>1 / (1 + EXP(-($D$144*N171+$K$144)))</f>
        <v>0.5</v>
      </c>
    </row>
    <row r="172" spans="3:15">
      <c r="N172">
        <v>-9</v>
      </c>
      <c r="O172">
        <f t="shared" ref="O172:O191" si="7">1 / (1 + EXP(-($D$144*N172+$K$144)))</f>
        <v>0.7310585786300049</v>
      </c>
    </row>
    <row r="173" spans="3:15">
      <c r="N173">
        <v>-8</v>
      </c>
      <c r="O173">
        <f t="shared" si="7"/>
        <v>0.88079707797788231</v>
      </c>
    </row>
    <row r="174" spans="3:15">
      <c r="N174">
        <v>-7</v>
      </c>
      <c r="O174">
        <f t="shared" si="7"/>
        <v>0.95257412682243336</v>
      </c>
    </row>
    <row r="175" spans="3:15">
      <c r="N175">
        <v>-6</v>
      </c>
      <c r="O175">
        <f t="shared" si="7"/>
        <v>0.98201379003790845</v>
      </c>
    </row>
    <row r="176" spans="3:15">
      <c r="N176">
        <v>-5</v>
      </c>
      <c r="O176">
        <f t="shared" si="7"/>
        <v>0.99330714907571527</v>
      </c>
    </row>
    <row r="177" spans="14:15">
      <c r="N177">
        <v>-4</v>
      </c>
      <c r="O177">
        <f t="shared" si="7"/>
        <v>0.99752737684336534</v>
      </c>
    </row>
    <row r="178" spans="14:15">
      <c r="N178">
        <v>-3</v>
      </c>
      <c r="O178">
        <f t="shared" si="7"/>
        <v>0.9990889488055994</v>
      </c>
    </row>
    <row r="179" spans="14:15">
      <c r="N179">
        <v>-2</v>
      </c>
      <c r="O179">
        <f t="shared" si="7"/>
        <v>0.99966464986953363</v>
      </c>
    </row>
    <row r="180" spans="14:15">
      <c r="N180">
        <v>-1</v>
      </c>
      <c r="O180">
        <f t="shared" si="7"/>
        <v>0.99987660542401369</v>
      </c>
    </row>
    <row r="181" spans="14:15">
      <c r="N181">
        <v>0</v>
      </c>
      <c r="O181">
        <f t="shared" si="7"/>
        <v>0.99995460213129761</v>
      </c>
    </row>
    <row r="182" spans="14:15">
      <c r="N182">
        <v>1</v>
      </c>
      <c r="O182">
        <f t="shared" si="7"/>
        <v>0.99998329857815205</v>
      </c>
    </row>
    <row r="183" spans="14:15">
      <c r="N183">
        <v>2</v>
      </c>
      <c r="O183">
        <f t="shared" si="7"/>
        <v>0.99999385582539779</v>
      </c>
    </row>
    <row r="184" spans="14:15">
      <c r="N184">
        <v>3</v>
      </c>
      <c r="O184">
        <f t="shared" si="7"/>
        <v>0.99999773967570205</v>
      </c>
    </row>
    <row r="185" spans="14:15">
      <c r="N185">
        <v>4</v>
      </c>
      <c r="O185">
        <f t="shared" si="7"/>
        <v>0.99999916847197223</v>
      </c>
    </row>
    <row r="186" spans="14:15">
      <c r="N186">
        <v>5</v>
      </c>
      <c r="O186">
        <f t="shared" si="7"/>
        <v>0.99999969409777301</v>
      </c>
    </row>
    <row r="187" spans="14:15">
      <c r="N187">
        <v>6</v>
      </c>
      <c r="O187">
        <f t="shared" si="7"/>
        <v>0.99999988746483792</v>
      </c>
    </row>
    <row r="188" spans="14:15">
      <c r="N188">
        <v>7</v>
      </c>
      <c r="O188">
        <f t="shared" si="7"/>
        <v>0.99999995860062441</v>
      </c>
    </row>
    <row r="189" spans="14:15">
      <c r="N189">
        <v>8</v>
      </c>
      <c r="O189">
        <f t="shared" si="7"/>
        <v>0.9999999847700205</v>
      </c>
    </row>
    <row r="190" spans="14:15">
      <c r="N190">
        <v>9</v>
      </c>
      <c r="O190">
        <f t="shared" si="7"/>
        <v>0.99999999439720355</v>
      </c>
    </row>
    <row r="191" spans="14:15">
      <c r="N191">
        <v>10</v>
      </c>
      <c r="O191">
        <f t="shared" si="7"/>
        <v>0.99999999793884631</v>
      </c>
    </row>
  </sheetData>
  <mergeCells count="3">
    <mergeCell ref="B1:G1"/>
    <mergeCell ref="H143:J143"/>
    <mergeCell ref="C143:F143"/>
  </mergeCells>
  <phoneticPr fontId="5" type="noConversion"/>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2"/>
  <sheetViews>
    <sheetView topLeftCell="A4" workbookViewId="0">
      <selection activeCell="D27" sqref="D27"/>
    </sheetView>
  </sheetViews>
  <sheetFormatPr defaultRowHeight="16.5"/>
  <sheetData>
    <row r="2" spans="2:2" s="1" customFormat="1">
      <c r="B2" s="1" t="s">
        <v>1655</v>
      </c>
    </row>
  </sheetData>
  <phoneticPr fontId="5" type="noConversion"/>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L6"/>
  <sheetViews>
    <sheetView zoomScale="160" zoomScaleNormal="160" workbookViewId="0">
      <selection activeCell="H2" sqref="H2"/>
    </sheetView>
  </sheetViews>
  <sheetFormatPr defaultRowHeight="16.5"/>
  <sheetData>
    <row r="1" spans="1:12">
      <c r="A1" s="312" t="s">
        <v>310</v>
      </c>
      <c r="E1" t="s">
        <v>1612</v>
      </c>
      <c r="F1">
        <f>_xlfn.VAR.P(A2:A6)</f>
        <v>8</v>
      </c>
    </row>
    <row r="2" spans="1:12">
      <c r="A2" s="311">
        <v>166</v>
      </c>
      <c r="E2" t="s">
        <v>1613</v>
      </c>
      <c r="F2">
        <f>_xlfn.VAR.S(A2:A6)</f>
        <v>10</v>
      </c>
      <c r="H2" t="s">
        <v>1614</v>
      </c>
      <c r="K2" t="s">
        <v>1616</v>
      </c>
      <c r="L2" t="s">
        <v>1619</v>
      </c>
    </row>
    <row r="3" spans="1:12">
      <c r="A3" s="311">
        <v>168</v>
      </c>
      <c r="H3" t="s">
        <v>1615</v>
      </c>
      <c r="K3" t="s">
        <v>1617</v>
      </c>
      <c r="L3" t="s">
        <v>1618</v>
      </c>
    </row>
    <row r="4" spans="1:12">
      <c r="A4" s="311">
        <v>170</v>
      </c>
    </row>
    <row r="5" spans="1:12">
      <c r="A5" s="311">
        <v>172</v>
      </c>
    </row>
    <row r="6" spans="1:12">
      <c r="A6" s="311">
        <v>174</v>
      </c>
    </row>
  </sheetData>
  <phoneticPr fontId="5" type="noConversion"/>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3:Y82"/>
  <sheetViews>
    <sheetView zoomScale="130" zoomScaleNormal="130" workbookViewId="0">
      <selection activeCell="AF46" sqref="AF46"/>
    </sheetView>
  </sheetViews>
  <sheetFormatPr defaultRowHeight="16.5"/>
  <cols>
    <col min="1" max="1" width="14.25" customWidth="1"/>
    <col min="7" max="7" width="11.625" customWidth="1"/>
    <col min="8" max="8" width="17.75" customWidth="1"/>
  </cols>
  <sheetData>
    <row r="3" spans="2:9">
      <c r="E3" t="s">
        <v>61</v>
      </c>
    </row>
    <row r="4" spans="2:9" ht="29.25" thickBot="1">
      <c r="B4" s="19"/>
      <c r="C4" s="17" t="s">
        <v>48</v>
      </c>
      <c r="D4" s="17" t="s">
        <v>49</v>
      </c>
      <c r="E4" s="24" t="s">
        <v>59</v>
      </c>
      <c r="F4" s="24" t="s">
        <v>63</v>
      </c>
      <c r="G4" s="24" t="s">
        <v>60</v>
      </c>
      <c r="H4" s="21" t="s">
        <v>62</v>
      </c>
    </row>
    <row r="5" spans="2:9" ht="17.25" thickBot="1">
      <c r="B5" s="20" t="s">
        <v>50</v>
      </c>
      <c r="C5" s="18">
        <v>170</v>
      </c>
      <c r="D5" s="18">
        <v>65</v>
      </c>
      <c r="E5" s="22">
        <f>C5-$B$19</f>
        <v>7</v>
      </c>
      <c r="F5" s="22">
        <f>E5^2</f>
        <v>49</v>
      </c>
      <c r="G5" s="22">
        <f>D5-$B$20</f>
        <v>8</v>
      </c>
      <c r="H5" s="22">
        <f>E5*G5</f>
        <v>56</v>
      </c>
    </row>
    <row r="6" spans="2:9" ht="17.25" thickBot="1">
      <c r="B6" s="20" t="s">
        <v>51</v>
      </c>
      <c r="C6" s="18">
        <v>155</v>
      </c>
      <c r="D6" s="18">
        <v>50</v>
      </c>
      <c r="E6" s="22">
        <f>C6-$B$19</f>
        <v>-8</v>
      </c>
      <c r="F6" s="22">
        <f>E6^2</f>
        <v>64</v>
      </c>
      <c r="G6" s="22">
        <f>D6-$B$20</f>
        <v>-7</v>
      </c>
      <c r="H6" s="22">
        <f>E6*G6</f>
        <v>56</v>
      </c>
    </row>
    <row r="7" spans="2:9" ht="17.25" thickBot="1">
      <c r="B7" s="20" t="s">
        <v>52</v>
      </c>
      <c r="C7" s="18">
        <v>150</v>
      </c>
      <c r="D7" s="18">
        <v>45</v>
      </c>
      <c r="E7" s="22">
        <f>C7-$B$19</f>
        <v>-13</v>
      </c>
      <c r="F7" s="22">
        <f>E7^2</f>
        <v>169</v>
      </c>
      <c r="G7" s="22">
        <f>D7-$B$20</f>
        <v>-12</v>
      </c>
      <c r="H7" s="22">
        <f>E7*G7</f>
        <v>156</v>
      </c>
    </row>
    <row r="8" spans="2:9" ht="17.25" thickBot="1">
      <c r="B8" s="20" t="s">
        <v>53</v>
      </c>
      <c r="C8" s="18">
        <v>175</v>
      </c>
      <c r="D8" s="18">
        <v>70</v>
      </c>
      <c r="E8" s="22">
        <f>C8-$B$19</f>
        <v>12</v>
      </c>
      <c r="F8" s="22">
        <f>E8^2</f>
        <v>144</v>
      </c>
      <c r="G8" s="22">
        <f>D8-$B$20</f>
        <v>13</v>
      </c>
      <c r="H8" s="22">
        <f>E8*G8</f>
        <v>156</v>
      </c>
    </row>
    <row r="9" spans="2:9" ht="17.25" thickBot="1">
      <c r="B9" s="20" t="s">
        <v>54</v>
      </c>
      <c r="C9" s="18">
        <v>165</v>
      </c>
      <c r="D9" s="18">
        <v>55</v>
      </c>
      <c r="E9" s="22">
        <f>C9-$B$19</f>
        <v>2</v>
      </c>
      <c r="F9" s="22">
        <f>E9^2</f>
        <v>4</v>
      </c>
      <c r="G9" s="22">
        <f>D9-$B$20</f>
        <v>-2</v>
      </c>
      <c r="H9" s="22">
        <f>E9*G9</f>
        <v>-4</v>
      </c>
    </row>
    <row r="11" spans="2:9">
      <c r="I11" s="15" t="s">
        <v>65</v>
      </c>
    </row>
    <row r="19" spans="1:13">
      <c r="A19" s="15" t="s">
        <v>55</v>
      </c>
      <c r="B19">
        <f>AVERAGE($C$5:$C$9)</f>
        <v>163</v>
      </c>
    </row>
    <row r="20" spans="1:13">
      <c r="A20" s="15" t="s">
        <v>56</v>
      </c>
      <c r="B20">
        <f>AVERAGE($D$5:$D$9)</f>
        <v>57</v>
      </c>
    </row>
    <row r="24" spans="1:13" ht="17.25" thickBot="1">
      <c r="A24" s="524" t="s">
        <v>66</v>
      </c>
      <c r="B24" s="525" t="s">
        <v>57</v>
      </c>
      <c r="C24" s="525"/>
      <c r="D24" s="525"/>
      <c r="E24" s="23"/>
      <c r="F24" s="23"/>
      <c r="G24" s="23">
        <f>SUM(H5:H9)</f>
        <v>420</v>
      </c>
      <c r="H24" s="527">
        <f>G24/G25</f>
        <v>0.97674418604651159</v>
      </c>
    </row>
    <row r="25" spans="1:13" ht="16.5" customHeight="1">
      <c r="A25" s="524"/>
      <c r="B25" s="526" t="s">
        <v>58</v>
      </c>
      <c r="C25" s="526"/>
      <c r="D25" s="526"/>
      <c r="E25" s="23"/>
      <c r="F25" s="23"/>
      <c r="G25" s="23">
        <f>SUM(F5:F9)</f>
        <v>430</v>
      </c>
      <c r="H25" s="527"/>
    </row>
    <row r="27" spans="1:13">
      <c r="A27" s="15" t="s">
        <v>67</v>
      </c>
      <c r="B27" s="25" t="s">
        <v>64</v>
      </c>
      <c r="G27">
        <f>B20-(B19*H24)</f>
        <v>-102.20930232558138</v>
      </c>
      <c r="I27" t="s">
        <v>68</v>
      </c>
    </row>
    <row r="29" spans="1:13">
      <c r="I29" t="s">
        <v>69</v>
      </c>
      <c r="K29" t="s">
        <v>70</v>
      </c>
      <c r="L29">
        <f>H24*163 +G27</f>
        <v>57</v>
      </c>
      <c r="M29" t="s">
        <v>71</v>
      </c>
    </row>
    <row r="34" spans="2:25" s="1" customFormat="1">
      <c r="B34" s="1" t="s">
        <v>72</v>
      </c>
    </row>
    <row r="35" spans="2:25">
      <c r="U35" t="s">
        <v>78</v>
      </c>
      <c r="V35">
        <v>1</v>
      </c>
      <c r="W35">
        <v>2</v>
      </c>
      <c r="X35">
        <v>3</v>
      </c>
    </row>
    <row r="36" spans="2:25">
      <c r="P36" t="s">
        <v>75</v>
      </c>
      <c r="R36" t="s">
        <v>77</v>
      </c>
      <c r="U36" t="s">
        <v>79</v>
      </c>
      <c r="V36" s="15" t="s">
        <v>80</v>
      </c>
      <c r="W36" s="26" t="s">
        <v>81</v>
      </c>
      <c r="X36" s="26" t="s">
        <v>82</v>
      </c>
    </row>
    <row r="37" spans="2:25">
      <c r="N37" s="15" t="s">
        <v>73</v>
      </c>
      <c r="O37" s="15" t="s">
        <v>74</v>
      </c>
      <c r="V37" s="15" t="s">
        <v>73</v>
      </c>
      <c r="W37" s="15" t="s">
        <v>80</v>
      </c>
      <c r="X37" s="26" t="s">
        <v>81</v>
      </c>
      <c r="Y37" s="26" t="s">
        <v>82</v>
      </c>
    </row>
    <row r="38" spans="2:25">
      <c r="N38">
        <v>-10</v>
      </c>
      <c r="O38">
        <f>N38^2</f>
        <v>100</v>
      </c>
      <c r="V38">
        <v>-10</v>
      </c>
      <c r="W38">
        <f>V38^2</f>
        <v>100</v>
      </c>
      <c r="X38">
        <f t="shared" ref="X38:X58" si="0">2*V38^2</f>
        <v>200</v>
      </c>
      <c r="Y38">
        <f t="shared" ref="Y38:Y58" si="1">3*V38^2</f>
        <v>300</v>
      </c>
    </row>
    <row r="39" spans="2:25">
      <c r="N39">
        <v>-9</v>
      </c>
      <c r="O39">
        <f t="shared" ref="O39:O58" si="2">N39^2</f>
        <v>81</v>
      </c>
      <c r="V39">
        <v>-9</v>
      </c>
      <c r="W39">
        <f t="shared" ref="W39:W58" si="3">V39^2</f>
        <v>81</v>
      </c>
      <c r="X39">
        <f t="shared" si="0"/>
        <v>162</v>
      </c>
      <c r="Y39">
        <f t="shared" si="1"/>
        <v>243</v>
      </c>
    </row>
    <row r="40" spans="2:25">
      <c r="N40">
        <v>-8</v>
      </c>
      <c r="O40">
        <f t="shared" si="2"/>
        <v>64</v>
      </c>
      <c r="V40">
        <v>-8</v>
      </c>
      <c r="W40">
        <f t="shared" si="3"/>
        <v>64</v>
      </c>
      <c r="X40">
        <f t="shared" si="0"/>
        <v>128</v>
      </c>
      <c r="Y40">
        <f t="shared" si="1"/>
        <v>192</v>
      </c>
    </row>
    <row r="41" spans="2:25">
      <c r="N41">
        <v>-7</v>
      </c>
      <c r="O41">
        <f t="shared" si="2"/>
        <v>49</v>
      </c>
      <c r="V41">
        <v>-7</v>
      </c>
      <c r="W41">
        <f t="shared" si="3"/>
        <v>49</v>
      </c>
      <c r="X41">
        <f t="shared" si="0"/>
        <v>98</v>
      </c>
      <c r="Y41">
        <f t="shared" si="1"/>
        <v>147</v>
      </c>
    </row>
    <row r="42" spans="2:25">
      <c r="N42">
        <v>-6</v>
      </c>
      <c r="O42">
        <f t="shared" si="2"/>
        <v>36</v>
      </c>
      <c r="V42">
        <v>-6</v>
      </c>
      <c r="W42">
        <f t="shared" si="3"/>
        <v>36</v>
      </c>
      <c r="X42">
        <f t="shared" si="0"/>
        <v>72</v>
      </c>
      <c r="Y42">
        <f t="shared" si="1"/>
        <v>108</v>
      </c>
    </row>
    <row r="43" spans="2:25">
      <c r="N43">
        <v>-5</v>
      </c>
      <c r="O43">
        <f t="shared" si="2"/>
        <v>25</v>
      </c>
      <c r="V43">
        <v>-5</v>
      </c>
      <c r="W43">
        <f t="shared" si="3"/>
        <v>25</v>
      </c>
      <c r="X43">
        <f t="shared" si="0"/>
        <v>50</v>
      </c>
      <c r="Y43">
        <f t="shared" si="1"/>
        <v>75</v>
      </c>
    </row>
    <row r="44" spans="2:25">
      <c r="N44">
        <v>-4</v>
      </c>
      <c r="O44">
        <f t="shared" si="2"/>
        <v>16</v>
      </c>
      <c r="V44">
        <v>-4</v>
      </c>
      <c r="W44">
        <f t="shared" si="3"/>
        <v>16</v>
      </c>
      <c r="X44">
        <f t="shared" si="0"/>
        <v>32</v>
      </c>
      <c r="Y44">
        <f t="shared" si="1"/>
        <v>48</v>
      </c>
    </row>
    <row r="45" spans="2:25">
      <c r="N45">
        <v>-3</v>
      </c>
      <c r="O45">
        <f t="shared" si="2"/>
        <v>9</v>
      </c>
      <c r="V45">
        <v>-3</v>
      </c>
      <c r="W45">
        <f t="shared" si="3"/>
        <v>9</v>
      </c>
      <c r="X45">
        <f t="shared" si="0"/>
        <v>18</v>
      </c>
      <c r="Y45">
        <f t="shared" si="1"/>
        <v>27</v>
      </c>
    </row>
    <row r="46" spans="2:25">
      <c r="N46">
        <v>-2</v>
      </c>
      <c r="O46">
        <f t="shared" si="2"/>
        <v>4</v>
      </c>
      <c r="V46">
        <v>-2</v>
      </c>
      <c r="W46">
        <f t="shared" si="3"/>
        <v>4</v>
      </c>
      <c r="X46">
        <f t="shared" si="0"/>
        <v>8</v>
      </c>
      <c r="Y46">
        <f t="shared" si="1"/>
        <v>12</v>
      </c>
    </row>
    <row r="47" spans="2:25">
      <c r="N47">
        <v>-1</v>
      </c>
      <c r="O47">
        <f t="shared" si="2"/>
        <v>1</v>
      </c>
      <c r="V47">
        <v>-1</v>
      </c>
      <c r="W47">
        <f t="shared" si="3"/>
        <v>1</v>
      </c>
      <c r="X47">
        <f t="shared" si="0"/>
        <v>2</v>
      </c>
      <c r="Y47">
        <f t="shared" si="1"/>
        <v>3</v>
      </c>
    </row>
    <row r="48" spans="2:25">
      <c r="N48">
        <v>0</v>
      </c>
      <c r="O48">
        <f t="shared" si="2"/>
        <v>0</v>
      </c>
      <c r="V48">
        <v>0</v>
      </c>
      <c r="W48">
        <f t="shared" si="3"/>
        <v>0</v>
      </c>
      <c r="X48">
        <f t="shared" si="0"/>
        <v>0</v>
      </c>
      <c r="Y48">
        <f t="shared" si="1"/>
        <v>0</v>
      </c>
    </row>
    <row r="49" spans="14:25">
      <c r="N49">
        <v>1</v>
      </c>
      <c r="O49">
        <f t="shared" si="2"/>
        <v>1</v>
      </c>
      <c r="V49">
        <v>1</v>
      </c>
      <c r="W49">
        <f t="shared" si="3"/>
        <v>1</v>
      </c>
      <c r="X49">
        <f t="shared" si="0"/>
        <v>2</v>
      </c>
      <c r="Y49">
        <f t="shared" si="1"/>
        <v>3</v>
      </c>
    </row>
    <row r="50" spans="14:25">
      <c r="N50">
        <v>2</v>
      </c>
      <c r="O50">
        <f t="shared" si="2"/>
        <v>4</v>
      </c>
      <c r="V50">
        <v>2</v>
      </c>
      <c r="W50">
        <f t="shared" si="3"/>
        <v>4</v>
      </c>
      <c r="X50">
        <f t="shared" si="0"/>
        <v>8</v>
      </c>
      <c r="Y50">
        <f t="shared" si="1"/>
        <v>12</v>
      </c>
    </row>
    <row r="51" spans="14:25">
      <c r="N51">
        <v>3</v>
      </c>
      <c r="O51">
        <f t="shared" si="2"/>
        <v>9</v>
      </c>
      <c r="V51">
        <v>3</v>
      </c>
      <c r="W51">
        <f t="shared" si="3"/>
        <v>9</v>
      </c>
      <c r="X51">
        <f t="shared" si="0"/>
        <v>18</v>
      </c>
      <c r="Y51">
        <f t="shared" si="1"/>
        <v>27</v>
      </c>
    </row>
    <row r="52" spans="14:25">
      <c r="N52">
        <v>4</v>
      </c>
      <c r="O52">
        <f t="shared" si="2"/>
        <v>16</v>
      </c>
      <c r="V52">
        <v>4</v>
      </c>
      <c r="W52">
        <f t="shared" si="3"/>
        <v>16</v>
      </c>
      <c r="X52">
        <f t="shared" si="0"/>
        <v>32</v>
      </c>
      <c r="Y52">
        <f t="shared" si="1"/>
        <v>48</v>
      </c>
    </row>
    <row r="53" spans="14:25">
      <c r="N53">
        <v>5</v>
      </c>
      <c r="O53">
        <f t="shared" si="2"/>
        <v>25</v>
      </c>
      <c r="V53">
        <v>5</v>
      </c>
      <c r="W53">
        <f t="shared" si="3"/>
        <v>25</v>
      </c>
      <c r="X53">
        <f t="shared" si="0"/>
        <v>50</v>
      </c>
      <c r="Y53">
        <f t="shared" si="1"/>
        <v>75</v>
      </c>
    </row>
    <row r="54" spans="14:25">
      <c r="N54">
        <v>6</v>
      </c>
      <c r="O54">
        <f t="shared" si="2"/>
        <v>36</v>
      </c>
      <c r="V54">
        <v>6</v>
      </c>
      <c r="W54">
        <f t="shared" si="3"/>
        <v>36</v>
      </c>
      <c r="X54">
        <f t="shared" si="0"/>
        <v>72</v>
      </c>
      <c r="Y54">
        <f t="shared" si="1"/>
        <v>108</v>
      </c>
    </row>
    <row r="55" spans="14:25">
      <c r="N55">
        <v>7</v>
      </c>
      <c r="O55">
        <f t="shared" si="2"/>
        <v>49</v>
      </c>
      <c r="V55">
        <v>7</v>
      </c>
      <c r="W55">
        <f t="shared" si="3"/>
        <v>49</v>
      </c>
      <c r="X55">
        <f t="shared" si="0"/>
        <v>98</v>
      </c>
      <c r="Y55">
        <f t="shared" si="1"/>
        <v>147</v>
      </c>
    </row>
    <row r="56" spans="14:25">
      <c r="N56">
        <v>8</v>
      </c>
      <c r="O56">
        <f t="shared" si="2"/>
        <v>64</v>
      </c>
      <c r="V56">
        <v>8</v>
      </c>
      <c r="W56">
        <f t="shared" si="3"/>
        <v>64</v>
      </c>
      <c r="X56">
        <f t="shared" si="0"/>
        <v>128</v>
      </c>
      <c r="Y56">
        <f t="shared" si="1"/>
        <v>192</v>
      </c>
    </row>
    <row r="57" spans="14:25">
      <c r="N57">
        <v>9</v>
      </c>
      <c r="O57">
        <f t="shared" si="2"/>
        <v>81</v>
      </c>
      <c r="V57">
        <v>9</v>
      </c>
      <c r="W57">
        <f t="shared" si="3"/>
        <v>81</v>
      </c>
      <c r="X57">
        <f t="shared" si="0"/>
        <v>162</v>
      </c>
      <c r="Y57">
        <f t="shared" si="1"/>
        <v>243</v>
      </c>
    </row>
    <row r="58" spans="14:25">
      <c r="N58">
        <v>10</v>
      </c>
      <c r="O58">
        <f t="shared" si="2"/>
        <v>100</v>
      </c>
      <c r="V58">
        <v>10</v>
      </c>
      <c r="W58">
        <f t="shared" si="3"/>
        <v>100</v>
      </c>
      <c r="X58">
        <f t="shared" si="0"/>
        <v>200</v>
      </c>
      <c r="Y58">
        <f t="shared" si="1"/>
        <v>300</v>
      </c>
    </row>
    <row r="60" spans="14:25">
      <c r="P60" t="s">
        <v>76</v>
      </c>
    </row>
    <row r="61" spans="14:25">
      <c r="N61" s="15" t="s">
        <v>73</v>
      </c>
      <c r="O61" s="15" t="s">
        <v>74</v>
      </c>
    </row>
    <row r="62" spans="14:25">
      <c r="N62">
        <v>-10</v>
      </c>
      <c r="O62">
        <f>-(N62^2)</f>
        <v>-100</v>
      </c>
    </row>
    <row r="63" spans="14:25">
      <c r="N63">
        <v>-9</v>
      </c>
      <c r="O63">
        <f t="shared" ref="O63:O82" si="4">-(N63^2)</f>
        <v>-81</v>
      </c>
    </row>
    <row r="64" spans="14:25">
      <c r="N64">
        <v>-8</v>
      </c>
      <c r="O64">
        <f t="shared" si="4"/>
        <v>-64</v>
      </c>
    </row>
    <row r="65" spans="14:15">
      <c r="N65">
        <v>-7</v>
      </c>
      <c r="O65">
        <f t="shared" si="4"/>
        <v>-49</v>
      </c>
    </row>
    <row r="66" spans="14:15">
      <c r="N66">
        <v>-6</v>
      </c>
      <c r="O66">
        <f t="shared" si="4"/>
        <v>-36</v>
      </c>
    </row>
    <row r="67" spans="14:15">
      <c r="N67">
        <v>-5</v>
      </c>
      <c r="O67">
        <f t="shared" si="4"/>
        <v>-25</v>
      </c>
    </row>
    <row r="68" spans="14:15">
      <c r="N68">
        <v>-4</v>
      </c>
      <c r="O68">
        <f t="shared" si="4"/>
        <v>-16</v>
      </c>
    </row>
    <row r="69" spans="14:15">
      <c r="N69">
        <v>-3</v>
      </c>
      <c r="O69">
        <f t="shared" si="4"/>
        <v>-9</v>
      </c>
    </row>
    <row r="70" spans="14:15">
      <c r="N70">
        <v>-2</v>
      </c>
      <c r="O70">
        <f t="shared" si="4"/>
        <v>-4</v>
      </c>
    </row>
    <row r="71" spans="14:15">
      <c r="N71">
        <v>-1</v>
      </c>
      <c r="O71">
        <f t="shared" si="4"/>
        <v>-1</v>
      </c>
    </row>
    <row r="72" spans="14:15">
      <c r="N72">
        <v>0</v>
      </c>
      <c r="O72">
        <f t="shared" si="4"/>
        <v>0</v>
      </c>
    </row>
    <row r="73" spans="14:15">
      <c r="N73">
        <v>1</v>
      </c>
      <c r="O73">
        <f t="shared" si="4"/>
        <v>-1</v>
      </c>
    </row>
    <row r="74" spans="14:15">
      <c r="N74">
        <v>2</v>
      </c>
      <c r="O74">
        <f t="shared" si="4"/>
        <v>-4</v>
      </c>
    </row>
    <row r="75" spans="14:15">
      <c r="N75">
        <v>3</v>
      </c>
      <c r="O75">
        <f t="shared" si="4"/>
        <v>-9</v>
      </c>
    </row>
    <row r="76" spans="14:15">
      <c r="N76">
        <v>4</v>
      </c>
      <c r="O76">
        <f t="shared" si="4"/>
        <v>-16</v>
      </c>
    </row>
    <row r="77" spans="14:15">
      <c r="N77">
        <v>5</v>
      </c>
      <c r="O77">
        <f t="shared" si="4"/>
        <v>-25</v>
      </c>
    </row>
    <row r="78" spans="14:15">
      <c r="N78">
        <v>6</v>
      </c>
      <c r="O78">
        <f t="shared" si="4"/>
        <v>-36</v>
      </c>
    </row>
    <row r="79" spans="14:15">
      <c r="N79">
        <v>7</v>
      </c>
      <c r="O79">
        <f t="shared" si="4"/>
        <v>-49</v>
      </c>
    </row>
    <row r="80" spans="14:15">
      <c r="N80">
        <v>8</v>
      </c>
      <c r="O80">
        <f t="shared" si="4"/>
        <v>-64</v>
      </c>
    </row>
    <row r="81" spans="14:15">
      <c r="N81">
        <v>9</v>
      </c>
      <c r="O81">
        <f t="shared" si="4"/>
        <v>-81</v>
      </c>
    </row>
    <row r="82" spans="14:15">
      <c r="N82">
        <v>10</v>
      </c>
      <c r="O82">
        <f t="shared" si="4"/>
        <v>-100</v>
      </c>
    </row>
  </sheetData>
  <mergeCells count="4">
    <mergeCell ref="A24:A25"/>
    <mergeCell ref="B24:D24"/>
    <mergeCell ref="B25:D25"/>
    <mergeCell ref="H24:H25"/>
  </mergeCells>
  <phoneticPr fontId="5"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4:Z179"/>
  <sheetViews>
    <sheetView showRowColHeaders="0" topLeftCell="A151" zoomScaleNormal="100" workbookViewId="0">
      <selection activeCell="E159" sqref="E159"/>
    </sheetView>
  </sheetViews>
  <sheetFormatPr defaultRowHeight="16.5"/>
  <sheetData>
    <row r="4" spans="3:8">
      <c r="C4" s="315" t="s">
        <v>1656</v>
      </c>
      <c r="D4" s="315" t="s">
        <v>510</v>
      </c>
      <c r="E4" s="315" t="s">
        <v>511</v>
      </c>
      <c r="F4" s="315" t="s">
        <v>1657</v>
      </c>
      <c r="H4" s="315" t="s">
        <v>38</v>
      </c>
    </row>
    <row r="5" spans="3:8">
      <c r="C5" s="1"/>
      <c r="D5" s="1"/>
      <c r="E5" s="1"/>
      <c r="F5" s="1"/>
      <c r="H5" s="244"/>
    </row>
    <row r="6" spans="3:8">
      <c r="C6" s="1"/>
      <c r="D6" s="1"/>
      <c r="E6" s="1"/>
      <c r="F6" s="1"/>
      <c r="H6" s="244"/>
    </row>
    <row r="7" spans="3:8">
      <c r="C7" s="1"/>
      <c r="D7" s="1"/>
      <c r="E7" s="1"/>
      <c r="F7" s="1"/>
      <c r="H7" s="244"/>
    </row>
    <row r="8" spans="3:8">
      <c r="C8" s="1"/>
      <c r="D8" s="1"/>
      <c r="E8" s="1"/>
      <c r="F8" s="1"/>
      <c r="H8" s="244"/>
    </row>
    <row r="9" spans="3:8">
      <c r="C9" s="1"/>
      <c r="D9" s="1" t="s">
        <v>458</v>
      </c>
      <c r="E9" s="1"/>
      <c r="F9" s="1"/>
      <c r="H9" s="244" t="s">
        <v>460</v>
      </c>
    </row>
    <row r="10" spans="3:8">
      <c r="C10" s="1"/>
      <c r="D10" s="1"/>
      <c r="E10" s="1"/>
      <c r="F10" s="1"/>
      <c r="H10" s="244"/>
    </row>
    <row r="11" spans="3:8">
      <c r="C11" s="1"/>
      <c r="D11" s="1"/>
      <c r="E11" s="1"/>
      <c r="F11" s="1"/>
      <c r="H11" s="244"/>
    </row>
    <row r="12" spans="3:8">
      <c r="C12" s="1"/>
      <c r="D12" s="1"/>
      <c r="E12" s="1"/>
      <c r="F12" s="1"/>
      <c r="H12" s="244"/>
    </row>
    <row r="13" spans="3:8">
      <c r="C13" s="1"/>
      <c r="D13" s="1"/>
      <c r="E13" s="1"/>
      <c r="F13" s="1"/>
      <c r="H13" s="244"/>
    </row>
    <row r="15" spans="3:8" s="321" customFormat="1"/>
    <row r="16" spans="3:8">
      <c r="C16" s="1"/>
      <c r="D16" s="1"/>
      <c r="E16" s="1"/>
      <c r="F16" s="1"/>
      <c r="H16" s="244"/>
    </row>
    <row r="17" spans="1:26">
      <c r="C17" s="1"/>
      <c r="D17" s="1" t="s">
        <v>459</v>
      </c>
      <c r="E17" s="1"/>
      <c r="F17" s="1"/>
      <c r="H17" s="244" t="s">
        <v>1658</v>
      </c>
    </row>
    <row r="18" spans="1:26">
      <c r="C18" s="1"/>
      <c r="D18" s="1"/>
      <c r="E18" s="1"/>
      <c r="F18" s="1"/>
      <c r="H18" s="244"/>
    </row>
    <row r="22" spans="1:26" ht="17.25" thickBot="1"/>
    <row r="23" spans="1:26" ht="17.25" thickBot="1">
      <c r="A23" s="5"/>
      <c r="B23" s="6" t="s">
        <v>1661</v>
      </c>
      <c r="C23" s="5"/>
      <c r="D23" s="5"/>
      <c r="E23" s="5"/>
      <c r="F23" s="5"/>
      <c r="G23" s="5"/>
      <c r="H23" s="5"/>
      <c r="I23" s="5"/>
      <c r="J23" s="5"/>
      <c r="K23" s="5"/>
      <c r="L23" s="5"/>
      <c r="M23" s="5"/>
      <c r="N23" s="5"/>
      <c r="O23" s="5"/>
      <c r="P23" s="5"/>
      <c r="Q23" s="5"/>
      <c r="R23" s="5"/>
      <c r="S23" s="5"/>
      <c r="T23" s="5"/>
      <c r="U23" s="5"/>
      <c r="V23" s="5"/>
      <c r="W23" s="5"/>
      <c r="X23" s="5"/>
      <c r="Y23" s="5"/>
      <c r="Z23" s="5"/>
    </row>
    <row r="24" spans="1:26" ht="17.25" thickBot="1">
      <c r="A24" s="7"/>
      <c r="B24" s="8" t="s">
        <v>1662</v>
      </c>
      <c r="C24" s="7"/>
      <c r="D24" s="7"/>
      <c r="E24" s="7"/>
      <c r="F24" s="7"/>
      <c r="G24" s="7"/>
      <c r="H24" s="7"/>
      <c r="I24" s="7"/>
      <c r="J24" s="7"/>
      <c r="K24" s="7"/>
      <c r="L24" s="7"/>
      <c r="M24" s="7"/>
      <c r="N24" s="7"/>
      <c r="O24" s="7"/>
      <c r="P24" s="7"/>
      <c r="Q24" s="7"/>
      <c r="R24" s="7"/>
      <c r="S24" s="7"/>
      <c r="T24" s="7"/>
      <c r="U24" s="7"/>
      <c r="V24" s="7"/>
      <c r="W24" s="7"/>
      <c r="X24" s="7"/>
      <c r="Y24" s="7"/>
      <c r="Z24" s="7"/>
    </row>
    <row r="25" spans="1:26" ht="17.25" thickBot="1">
      <c r="A25" s="7"/>
      <c r="B25" s="7"/>
      <c r="C25" s="7"/>
      <c r="D25" s="7"/>
      <c r="E25" s="7"/>
      <c r="F25" s="7"/>
      <c r="G25" s="7"/>
      <c r="H25" s="7"/>
      <c r="I25" s="7"/>
      <c r="J25" s="7"/>
      <c r="K25" s="7"/>
      <c r="L25" s="7"/>
      <c r="M25" s="7"/>
      <c r="N25" s="7"/>
      <c r="O25" s="7"/>
      <c r="P25" s="7"/>
      <c r="Q25" s="7"/>
      <c r="R25" s="7"/>
      <c r="S25" s="7"/>
      <c r="T25" s="7"/>
      <c r="U25" s="7"/>
      <c r="V25" s="7"/>
      <c r="W25" s="7"/>
      <c r="X25" s="7"/>
      <c r="Y25" s="7"/>
      <c r="Z25" s="7"/>
    </row>
    <row r="26" spans="1:26" ht="17.25" thickBot="1">
      <c r="A26" s="7"/>
      <c r="B26" s="8" t="s">
        <v>1663</v>
      </c>
      <c r="C26" s="7"/>
      <c r="D26" s="7"/>
      <c r="E26" s="7"/>
      <c r="F26" s="7"/>
      <c r="G26" s="7"/>
      <c r="H26" s="7"/>
      <c r="I26" s="7"/>
      <c r="J26" s="7"/>
      <c r="K26" s="7"/>
      <c r="L26" s="7"/>
      <c r="M26" s="7"/>
      <c r="N26" s="7"/>
      <c r="O26" s="7"/>
      <c r="P26" s="7"/>
      <c r="Q26" s="7"/>
      <c r="R26" s="7"/>
      <c r="S26" s="7"/>
      <c r="T26" s="7"/>
      <c r="U26" s="7"/>
      <c r="V26" s="7"/>
      <c r="W26" s="7"/>
      <c r="X26" s="7"/>
      <c r="Y26" s="7"/>
      <c r="Z26" s="7"/>
    </row>
    <row r="27" spans="1:26" ht="17.25" thickBot="1">
      <c r="A27" s="7"/>
      <c r="B27" s="7"/>
      <c r="C27" s="7"/>
      <c r="D27" s="7"/>
      <c r="E27" s="7"/>
      <c r="F27" s="7"/>
      <c r="G27" s="7"/>
      <c r="H27" s="7"/>
      <c r="I27" s="7"/>
      <c r="J27" s="7"/>
      <c r="K27" s="7"/>
      <c r="L27" s="7"/>
      <c r="M27" s="7"/>
      <c r="N27" s="7"/>
      <c r="O27" s="7"/>
      <c r="P27" s="7"/>
      <c r="Q27" s="7"/>
      <c r="R27" s="7"/>
      <c r="S27" s="7"/>
      <c r="T27" s="7"/>
      <c r="U27" s="7"/>
      <c r="V27" s="7"/>
      <c r="W27" s="7"/>
      <c r="X27" s="7"/>
      <c r="Y27" s="7"/>
      <c r="Z27" s="7"/>
    </row>
    <row r="28" spans="1:26" ht="17.25" thickBot="1">
      <c r="A28" s="7"/>
      <c r="B28" s="8" t="s">
        <v>1664</v>
      </c>
      <c r="C28" s="7"/>
      <c r="D28" s="7"/>
      <c r="E28" s="7"/>
      <c r="F28" s="7"/>
      <c r="G28" s="7"/>
      <c r="H28" s="7"/>
      <c r="I28" s="7"/>
      <c r="J28" s="7"/>
      <c r="K28" s="7"/>
      <c r="L28" s="7"/>
      <c r="M28" s="7"/>
      <c r="N28" s="7"/>
      <c r="O28" s="7"/>
      <c r="P28" s="7"/>
      <c r="Q28" s="7"/>
      <c r="R28" s="7"/>
      <c r="S28" s="7"/>
      <c r="T28" s="7"/>
      <c r="U28" s="7"/>
      <c r="V28" s="7"/>
      <c r="W28" s="7"/>
      <c r="X28" s="7"/>
      <c r="Y28" s="7"/>
      <c r="Z28" s="7"/>
    </row>
    <row r="29" spans="1:26" ht="17.25" thickBot="1">
      <c r="A29" s="7"/>
      <c r="B29" s="8" t="s">
        <v>1665</v>
      </c>
      <c r="C29" s="7"/>
      <c r="D29" s="7"/>
      <c r="E29" s="7"/>
      <c r="F29" s="7"/>
      <c r="G29" s="7"/>
      <c r="H29" s="7"/>
      <c r="I29" s="7"/>
      <c r="J29" s="7"/>
      <c r="K29" s="7"/>
      <c r="L29" s="7"/>
      <c r="M29" s="7"/>
      <c r="N29" s="7"/>
      <c r="O29" s="7"/>
      <c r="P29" s="7"/>
      <c r="Q29" s="7"/>
      <c r="R29" s="7"/>
      <c r="S29" s="7"/>
      <c r="T29" s="7"/>
      <c r="U29" s="7"/>
      <c r="V29" s="7"/>
      <c r="W29" s="7"/>
      <c r="X29" s="7"/>
      <c r="Y29" s="7"/>
      <c r="Z29" s="7"/>
    </row>
    <row r="30" spans="1:26" ht="17.25" thickBot="1">
      <c r="A30" s="7"/>
      <c r="B30" s="8" t="s">
        <v>1666</v>
      </c>
      <c r="C30" s="7"/>
      <c r="D30" s="7"/>
      <c r="E30" s="7"/>
      <c r="F30" s="7"/>
      <c r="G30" s="7"/>
      <c r="H30" s="7"/>
      <c r="I30" s="7"/>
      <c r="J30" s="7"/>
      <c r="K30" s="7"/>
      <c r="L30" s="7"/>
      <c r="M30" s="7"/>
      <c r="N30" s="7"/>
      <c r="O30" s="7"/>
      <c r="P30" s="7"/>
      <c r="Q30" s="7"/>
      <c r="R30" s="7"/>
      <c r="S30" s="7"/>
      <c r="T30" s="7"/>
      <c r="U30" s="7"/>
      <c r="V30" s="7"/>
      <c r="W30" s="7"/>
      <c r="X30" s="7"/>
      <c r="Y30" s="7"/>
      <c r="Z30" s="7"/>
    </row>
    <row r="31" spans="1:26" ht="17.25" thickBot="1">
      <c r="A31" s="7"/>
      <c r="B31" s="7"/>
      <c r="C31" s="7"/>
      <c r="D31" s="7"/>
      <c r="E31" s="7"/>
      <c r="F31" s="7"/>
      <c r="G31" s="7"/>
      <c r="H31" s="7"/>
      <c r="I31" s="7"/>
      <c r="J31" s="7"/>
      <c r="K31" s="7"/>
      <c r="L31" s="7"/>
      <c r="M31" s="7"/>
      <c r="N31" s="7"/>
      <c r="O31" s="7"/>
      <c r="P31" s="7"/>
      <c r="Q31" s="7"/>
      <c r="R31" s="7"/>
      <c r="S31" s="7"/>
      <c r="T31" s="7"/>
      <c r="U31" s="7"/>
      <c r="V31" s="7"/>
      <c r="W31" s="7"/>
      <c r="X31" s="7"/>
      <c r="Y31" s="7"/>
      <c r="Z31" s="7"/>
    </row>
    <row r="32" spans="1:26" ht="17.25" thickBot="1">
      <c r="A32" s="7"/>
      <c r="B32" s="8" t="s">
        <v>1667</v>
      </c>
      <c r="C32" s="7"/>
      <c r="D32" s="7"/>
      <c r="E32" s="7"/>
      <c r="F32" s="7"/>
      <c r="G32" s="7"/>
      <c r="H32" s="7"/>
      <c r="I32" s="7"/>
      <c r="J32" s="7"/>
      <c r="K32" s="7"/>
      <c r="L32" s="7"/>
      <c r="M32" s="7"/>
      <c r="N32" s="7"/>
      <c r="O32" s="7"/>
      <c r="P32" s="7"/>
      <c r="Q32" s="7"/>
      <c r="R32" s="7"/>
      <c r="S32" s="7"/>
      <c r="T32" s="7"/>
      <c r="U32" s="7"/>
      <c r="V32" s="7"/>
      <c r="W32" s="7"/>
      <c r="X32" s="7"/>
      <c r="Y32" s="7"/>
      <c r="Z32" s="7"/>
    </row>
    <row r="33" spans="1:26" ht="17.25" thickBot="1">
      <c r="A33" s="7"/>
      <c r="B33" s="7"/>
      <c r="C33" s="7"/>
      <c r="D33" s="7"/>
      <c r="E33" s="7"/>
      <c r="F33" s="7"/>
      <c r="G33" s="7"/>
      <c r="H33" s="7"/>
      <c r="I33" s="7"/>
      <c r="J33" s="7"/>
      <c r="K33" s="7"/>
      <c r="L33" s="7"/>
      <c r="M33" s="7"/>
      <c r="N33" s="7"/>
      <c r="O33" s="7"/>
      <c r="P33" s="7"/>
      <c r="Q33" s="7"/>
      <c r="R33" s="7"/>
      <c r="S33" s="7"/>
      <c r="T33" s="7"/>
      <c r="U33" s="7"/>
      <c r="V33" s="7"/>
      <c r="W33" s="7"/>
      <c r="X33" s="7"/>
      <c r="Y33" s="7"/>
      <c r="Z33" s="7"/>
    </row>
    <row r="34" spans="1:26" ht="17.25" thickBot="1">
      <c r="A34" s="7"/>
      <c r="B34" s="8" t="s">
        <v>1668</v>
      </c>
      <c r="C34" s="7"/>
      <c r="D34" s="7"/>
      <c r="E34" s="7"/>
      <c r="F34" s="7"/>
      <c r="G34" s="7"/>
      <c r="H34" s="7"/>
      <c r="I34" s="7"/>
      <c r="J34" s="7"/>
      <c r="K34" s="7"/>
      <c r="L34" s="7"/>
      <c r="M34" s="7"/>
      <c r="N34" s="7"/>
      <c r="O34" s="7"/>
      <c r="P34" s="7"/>
      <c r="Q34" s="7"/>
      <c r="R34" s="7"/>
      <c r="S34" s="7"/>
      <c r="T34" s="7"/>
      <c r="U34" s="7"/>
      <c r="V34" s="7"/>
      <c r="W34" s="7"/>
      <c r="X34" s="7"/>
      <c r="Y34" s="7"/>
      <c r="Z34" s="7"/>
    </row>
    <row r="35" spans="1:26" ht="17.25" thickBot="1">
      <c r="A35" s="7"/>
      <c r="B35" s="8" t="s">
        <v>1669</v>
      </c>
      <c r="C35" s="7"/>
      <c r="D35" s="7"/>
      <c r="E35" s="7"/>
      <c r="F35" s="7"/>
      <c r="G35" s="7"/>
      <c r="H35" s="7"/>
      <c r="I35" s="7"/>
      <c r="J35" s="7"/>
      <c r="K35" s="7"/>
      <c r="L35" s="7"/>
      <c r="M35" s="7"/>
      <c r="N35" s="7"/>
      <c r="O35" s="7"/>
      <c r="P35" s="7"/>
      <c r="Q35" s="7"/>
      <c r="R35" s="7"/>
      <c r="S35" s="7"/>
      <c r="T35" s="7"/>
      <c r="U35" s="7"/>
      <c r="V35" s="7"/>
      <c r="W35" s="7"/>
      <c r="X35" s="7"/>
      <c r="Y35" s="7"/>
      <c r="Z35" s="7"/>
    </row>
    <row r="36" spans="1:26" ht="17.25" thickBot="1">
      <c r="A36" s="7"/>
      <c r="B36" s="7"/>
      <c r="C36" s="7"/>
      <c r="D36" s="7"/>
      <c r="E36" s="7"/>
      <c r="F36" s="7"/>
      <c r="G36" s="7"/>
      <c r="H36" s="7"/>
      <c r="I36" s="7"/>
      <c r="J36" s="7"/>
      <c r="K36" s="7"/>
      <c r="L36" s="7"/>
      <c r="M36" s="7"/>
      <c r="N36" s="7"/>
      <c r="O36" s="7"/>
      <c r="P36" s="7"/>
      <c r="Q36" s="7"/>
      <c r="R36" s="7"/>
      <c r="S36" s="7"/>
      <c r="T36" s="7"/>
      <c r="U36" s="7"/>
      <c r="V36" s="7"/>
      <c r="W36" s="7"/>
      <c r="X36" s="7"/>
      <c r="Y36" s="7"/>
      <c r="Z36" s="7"/>
    </row>
    <row r="37" spans="1:26" ht="17.25" thickBot="1">
      <c r="A37" s="7"/>
      <c r="B37" s="8" t="s">
        <v>1670</v>
      </c>
      <c r="C37" s="7"/>
      <c r="D37" s="7"/>
      <c r="E37" s="7"/>
      <c r="F37" s="7"/>
      <c r="G37" s="7"/>
      <c r="H37" s="7"/>
      <c r="I37" s="7"/>
      <c r="J37" s="7"/>
      <c r="K37" s="7"/>
      <c r="L37" s="7"/>
      <c r="M37" s="7"/>
      <c r="N37" s="7"/>
      <c r="O37" s="7"/>
      <c r="P37" s="7"/>
      <c r="Q37" s="7"/>
      <c r="R37" s="7"/>
      <c r="S37" s="7"/>
      <c r="T37" s="7"/>
      <c r="U37" s="7"/>
      <c r="V37" s="7"/>
      <c r="W37" s="7"/>
      <c r="X37" s="7"/>
      <c r="Y37" s="7"/>
      <c r="Z37" s="7"/>
    </row>
    <row r="38" spans="1:26" ht="17.25" thickBot="1">
      <c r="A38" s="7"/>
      <c r="B38" s="7"/>
      <c r="C38" s="7"/>
      <c r="D38" s="7"/>
      <c r="E38" s="7"/>
      <c r="F38" s="7"/>
      <c r="G38" s="7"/>
      <c r="H38" s="7"/>
      <c r="I38" s="7"/>
      <c r="J38" s="7"/>
      <c r="K38" s="7"/>
      <c r="L38" s="7"/>
      <c r="M38" s="7"/>
      <c r="N38" s="7"/>
      <c r="O38" s="7"/>
      <c r="P38" s="7"/>
      <c r="Q38" s="7"/>
      <c r="R38" s="7"/>
      <c r="S38" s="7"/>
      <c r="T38" s="7"/>
      <c r="U38" s="7"/>
      <c r="V38" s="7"/>
      <c r="W38" s="7"/>
      <c r="X38" s="7"/>
      <c r="Y38" s="7"/>
      <c r="Z38" s="7"/>
    </row>
    <row r="39" spans="1:26" ht="17.25" thickBot="1">
      <c r="A39" s="7"/>
      <c r="B39" s="8" t="s">
        <v>1671</v>
      </c>
      <c r="C39" s="7"/>
      <c r="D39" s="7"/>
      <c r="E39" s="7"/>
      <c r="F39" s="7"/>
      <c r="G39" s="7"/>
      <c r="H39" s="7"/>
      <c r="I39" s="7"/>
      <c r="J39" s="7"/>
      <c r="K39" s="7"/>
      <c r="L39" s="7"/>
      <c r="M39" s="7"/>
      <c r="N39" s="7"/>
      <c r="O39" s="7"/>
      <c r="P39" s="7"/>
      <c r="Q39" s="7"/>
      <c r="R39" s="7"/>
      <c r="S39" s="7"/>
      <c r="T39" s="7"/>
      <c r="U39" s="7"/>
      <c r="V39" s="7"/>
      <c r="W39" s="7"/>
      <c r="X39" s="7"/>
      <c r="Y39" s="7"/>
      <c r="Z39" s="7"/>
    </row>
    <row r="40" spans="1:26" ht="17.25" thickBot="1">
      <c r="A40" s="7"/>
      <c r="B40" s="8" t="s">
        <v>1672</v>
      </c>
      <c r="C40" s="7"/>
      <c r="D40" s="7"/>
      <c r="E40" s="7"/>
      <c r="F40" s="7"/>
      <c r="G40" s="7"/>
      <c r="H40" s="7"/>
      <c r="I40" s="7"/>
      <c r="J40" s="7"/>
      <c r="K40" s="7"/>
      <c r="L40" s="7"/>
      <c r="M40" s="7"/>
      <c r="N40" s="7"/>
      <c r="O40" s="7"/>
      <c r="P40" s="7"/>
      <c r="Q40" s="7"/>
      <c r="R40" s="7"/>
      <c r="S40" s="7"/>
      <c r="T40" s="7"/>
      <c r="U40" s="7"/>
      <c r="V40" s="7"/>
      <c r="W40" s="7"/>
      <c r="X40" s="7"/>
      <c r="Y40" s="7"/>
      <c r="Z40" s="7"/>
    </row>
    <row r="41" spans="1:26" ht="17.25" thickBot="1">
      <c r="A41" s="7"/>
      <c r="B41" s="7"/>
      <c r="C41" s="7"/>
      <c r="D41" s="7"/>
      <c r="E41" s="7"/>
      <c r="F41" s="7"/>
      <c r="G41" s="7"/>
      <c r="H41" s="7"/>
      <c r="I41" s="7"/>
      <c r="J41" s="7"/>
      <c r="K41" s="7"/>
      <c r="L41" s="7"/>
      <c r="M41" s="7"/>
      <c r="N41" s="7"/>
      <c r="O41" s="7"/>
      <c r="P41" s="7"/>
      <c r="Q41" s="7"/>
      <c r="R41" s="7"/>
      <c r="S41" s="7"/>
      <c r="T41" s="7"/>
      <c r="U41" s="7"/>
      <c r="V41" s="7"/>
      <c r="W41" s="7"/>
      <c r="X41" s="7"/>
      <c r="Y41" s="7"/>
      <c r="Z41" s="7"/>
    </row>
    <row r="42" spans="1:26" ht="17.25" thickBot="1">
      <c r="A42" s="7"/>
      <c r="B42" s="8" t="s">
        <v>1673</v>
      </c>
      <c r="C42" s="7"/>
      <c r="D42" s="7"/>
      <c r="E42" s="7"/>
      <c r="F42" s="7"/>
      <c r="G42" s="7"/>
      <c r="H42" s="7"/>
      <c r="I42" s="7"/>
      <c r="J42" s="7"/>
      <c r="K42" s="7"/>
      <c r="L42" s="7"/>
      <c r="M42" s="7"/>
      <c r="N42" s="7"/>
      <c r="O42" s="7"/>
      <c r="P42" s="7"/>
      <c r="Q42" s="7"/>
      <c r="R42" s="7"/>
      <c r="S42" s="7"/>
      <c r="T42" s="7"/>
      <c r="U42" s="7"/>
      <c r="V42" s="7"/>
      <c r="W42" s="7"/>
      <c r="X42" s="7"/>
      <c r="Y42" s="7"/>
      <c r="Z42" s="7"/>
    </row>
    <row r="46" spans="1:26">
      <c r="A46" s="1"/>
      <c r="B46" s="1" t="s">
        <v>1674</v>
      </c>
      <c r="C46" s="1"/>
      <c r="D46" s="1"/>
      <c r="E46" s="1"/>
      <c r="F46" s="1"/>
      <c r="G46" s="1"/>
      <c r="H46" s="1"/>
      <c r="I46" s="1"/>
      <c r="J46" s="1"/>
      <c r="K46" s="1"/>
      <c r="L46" s="1"/>
      <c r="M46" s="1"/>
      <c r="N46" s="1"/>
      <c r="O46" s="1"/>
      <c r="P46" s="1"/>
      <c r="Q46" s="1"/>
      <c r="R46" s="1"/>
      <c r="S46" s="1"/>
    </row>
    <row r="48" spans="1:26" ht="21.75">
      <c r="B48" s="177" t="s">
        <v>1675</v>
      </c>
    </row>
    <row r="49" spans="2:2">
      <c r="B49" s="129"/>
    </row>
    <row r="50" spans="2:2">
      <c r="B50" s="150" t="s">
        <v>1676</v>
      </c>
    </row>
    <row r="52" spans="2:2" ht="21.75">
      <c r="B52" s="177" t="s">
        <v>1677</v>
      </c>
    </row>
    <row r="53" spans="2:2">
      <c r="B53" s="129"/>
    </row>
    <row r="54" spans="2:2">
      <c r="B54" s="150" t="s">
        <v>1678</v>
      </c>
    </row>
    <row r="55" spans="2:2">
      <c r="B55" s="129"/>
    </row>
    <row r="56" spans="2:2">
      <c r="B56" s="129"/>
    </row>
    <row r="57" spans="2:2">
      <c r="B57" s="178" t="s">
        <v>1679</v>
      </c>
    </row>
    <row r="58" spans="2:2">
      <c r="B58" s="129"/>
    </row>
    <row r="59" spans="2:2">
      <c r="B59" s="150" t="s">
        <v>1680</v>
      </c>
    </row>
    <row r="60" spans="2:2">
      <c r="B60" s="129"/>
    </row>
    <row r="61" spans="2:2">
      <c r="B61" s="129"/>
    </row>
    <row r="62" spans="2:2">
      <c r="B62" s="178" t="s">
        <v>1681</v>
      </c>
    </row>
    <row r="63" spans="2:2">
      <c r="B63" s="129"/>
    </row>
    <row r="64" spans="2:2">
      <c r="B64" s="150" t="s">
        <v>1682</v>
      </c>
    </row>
    <row r="65" spans="2:19">
      <c r="B65" s="129"/>
    </row>
    <row r="66" spans="2:19">
      <c r="B66" s="129"/>
    </row>
    <row r="67" spans="2:19">
      <c r="B67" s="178" t="s">
        <v>1683</v>
      </c>
    </row>
    <row r="69" spans="2:19" ht="21.75">
      <c r="B69" s="177" t="s">
        <v>1684</v>
      </c>
    </row>
    <row r="70" spans="2:19">
      <c r="B70" s="129"/>
    </row>
    <row r="71" spans="2:19">
      <c r="B71" s="129" t="s">
        <v>1685</v>
      </c>
    </row>
    <row r="76" spans="2:19">
      <c r="B76" s="1" t="s">
        <v>1738</v>
      </c>
      <c r="C76" s="1"/>
      <c r="D76" s="1"/>
      <c r="E76" s="1"/>
      <c r="F76" s="1"/>
      <c r="G76" s="1"/>
      <c r="H76" s="1"/>
      <c r="I76" s="1"/>
      <c r="J76" s="1"/>
      <c r="K76" s="1"/>
      <c r="L76" s="1"/>
      <c r="M76" s="1"/>
      <c r="N76" s="1"/>
      <c r="O76" s="1"/>
      <c r="P76" s="1"/>
      <c r="Q76" s="1"/>
      <c r="R76" s="1"/>
      <c r="S76" s="1"/>
    </row>
    <row r="79" spans="2:19">
      <c r="B79" s="326" t="s">
        <v>1720</v>
      </c>
    </row>
    <row r="81" spans="2:2" ht="21.75">
      <c r="B81" s="177" t="s">
        <v>1711</v>
      </c>
    </row>
    <row r="83" spans="2:2">
      <c r="B83" s="326" t="s">
        <v>1712</v>
      </c>
    </row>
    <row r="84" spans="2:2">
      <c r="B84" s="129"/>
    </row>
    <row r="85" spans="2:2">
      <c r="B85" s="150" t="s">
        <v>1713</v>
      </c>
    </row>
    <row r="86" spans="2:2">
      <c r="B86" s="129"/>
    </row>
    <row r="87" spans="2:2">
      <c r="B87" s="150" t="s">
        <v>1714</v>
      </c>
    </row>
    <row r="88" spans="2:2">
      <c r="B88" s="129"/>
    </row>
    <row r="89" spans="2:2">
      <c r="B89" s="150" t="s">
        <v>1715</v>
      </c>
    </row>
    <row r="90" spans="2:2">
      <c r="B90" s="129"/>
    </row>
    <row r="91" spans="2:2">
      <c r="B91" s="150" t="s">
        <v>1716</v>
      </c>
    </row>
    <row r="93" spans="2:2" ht="21.75">
      <c r="B93" s="177" t="s">
        <v>1717</v>
      </c>
    </row>
    <row r="94" spans="2:2">
      <c r="B94" s="129"/>
    </row>
    <row r="95" spans="2:2">
      <c r="B95" s="150" t="s">
        <v>1718</v>
      </c>
    </row>
    <row r="96" spans="2:2">
      <c r="B96" s="150" t="s">
        <v>1719</v>
      </c>
    </row>
    <row r="99" spans="2:2">
      <c r="B99" t="s">
        <v>1721</v>
      </c>
    </row>
    <row r="100" spans="2:2">
      <c r="B100" t="s">
        <v>1722</v>
      </c>
    </row>
    <row r="101" spans="2:2">
      <c r="B101" t="s">
        <v>1723</v>
      </c>
    </row>
    <row r="103" spans="2:2">
      <c r="B103" t="s">
        <v>1724</v>
      </c>
    </row>
    <row r="104" spans="2:2">
      <c r="B104" t="s">
        <v>1725</v>
      </c>
    </row>
    <row r="106" spans="2:2">
      <c r="B106" t="s">
        <v>1726</v>
      </c>
    </row>
    <row r="107" spans="2:2">
      <c r="B107" t="s">
        <v>1727</v>
      </c>
    </row>
    <row r="108" spans="2:2">
      <c r="B108" t="s">
        <v>1728</v>
      </c>
    </row>
    <row r="109" spans="2:2">
      <c r="B109" t="s">
        <v>1729</v>
      </c>
    </row>
    <row r="110" spans="2:2">
      <c r="B110" t="s">
        <v>1590</v>
      </c>
    </row>
    <row r="112" spans="2:2">
      <c r="B112" t="s">
        <v>1730</v>
      </c>
    </row>
    <row r="113" spans="2:2">
      <c r="B113" t="s">
        <v>1731</v>
      </c>
    </row>
    <row r="114" spans="2:2">
      <c r="B114" t="s">
        <v>1732</v>
      </c>
    </row>
    <row r="116" spans="2:2">
      <c r="B116" t="s">
        <v>1733</v>
      </c>
    </row>
    <row r="117" spans="2:2">
      <c r="B117" t="s">
        <v>1734</v>
      </c>
    </row>
    <row r="119" spans="2:2">
      <c r="B119" t="s">
        <v>1735</v>
      </c>
    </row>
    <row r="120" spans="2:2">
      <c r="B120" t="s">
        <v>1736</v>
      </c>
    </row>
    <row r="123" spans="2:2">
      <c r="B123" s="326" t="s">
        <v>1737</v>
      </c>
    </row>
    <row r="130" spans="2:2">
      <c r="B130" s="1" t="s">
        <v>1739</v>
      </c>
    </row>
    <row r="132" spans="2:2">
      <c r="B132" t="s">
        <v>1740</v>
      </c>
    </row>
    <row r="135" spans="2:2" ht="21.75">
      <c r="B135" s="177" t="s">
        <v>1711</v>
      </c>
    </row>
    <row r="136" spans="2:2">
      <c r="B136" s="129"/>
    </row>
    <row r="137" spans="2:2">
      <c r="B137" s="150" t="s">
        <v>1741</v>
      </c>
    </row>
    <row r="138" spans="2:2">
      <c r="B138" s="129"/>
    </row>
    <row r="139" spans="2:2">
      <c r="B139" s="150" t="s">
        <v>1742</v>
      </c>
    </row>
    <row r="140" spans="2:2">
      <c r="B140" s="129"/>
    </row>
    <row r="141" spans="2:2">
      <c r="B141" s="129"/>
    </row>
    <row r="142" spans="2:2">
      <c r="B142" s="178" t="s">
        <v>1743</v>
      </c>
    </row>
    <row r="143" spans="2:2">
      <c r="B143" s="178" t="s">
        <v>1744</v>
      </c>
    </row>
    <row r="144" spans="2:2">
      <c r="B144" s="129"/>
    </row>
    <row r="145" spans="2:2">
      <c r="B145" s="150" t="s">
        <v>1745</v>
      </c>
    </row>
    <row r="146" spans="2:2">
      <c r="B146" s="129"/>
    </row>
    <row r="147" spans="2:2">
      <c r="B147" s="150" t="s">
        <v>1746</v>
      </c>
    </row>
    <row r="150" spans="2:2" ht="21.75">
      <c r="B150" s="177" t="s">
        <v>1717</v>
      </c>
    </row>
    <row r="151" spans="2:2">
      <c r="B151" s="129"/>
    </row>
    <row r="152" spans="2:2">
      <c r="B152" s="150" t="s">
        <v>1747</v>
      </c>
    </row>
    <row r="153" spans="2:2">
      <c r="B153" s="150" t="s">
        <v>1748</v>
      </c>
    </row>
    <row r="156" spans="2:2">
      <c r="B156" t="s">
        <v>1749</v>
      </c>
    </row>
    <row r="157" spans="2:2">
      <c r="B157" t="s">
        <v>1721</v>
      </c>
    </row>
    <row r="158" spans="2:2">
      <c r="B158" t="s">
        <v>1722</v>
      </c>
    </row>
    <row r="159" spans="2:2">
      <c r="B159" t="s">
        <v>1750</v>
      </c>
    </row>
    <row r="160" spans="2:2">
      <c r="B160" t="s">
        <v>1761</v>
      </c>
    </row>
    <row r="162" spans="2:2">
      <c r="B162" t="s">
        <v>1724</v>
      </c>
    </row>
    <row r="163" spans="2:2">
      <c r="B163" t="s">
        <v>1725</v>
      </c>
    </row>
    <row r="164" spans="2:2">
      <c r="B164" t="s">
        <v>1751</v>
      </c>
    </row>
    <row r="166" spans="2:2">
      <c r="B166" t="s">
        <v>1733</v>
      </c>
    </row>
    <row r="167" spans="2:2">
      <c r="B167" t="s">
        <v>1731</v>
      </c>
    </row>
    <row r="168" spans="2:2">
      <c r="B168" t="s">
        <v>1752</v>
      </c>
    </row>
    <row r="170" spans="2:2">
      <c r="B170" t="s">
        <v>1753</v>
      </c>
    </row>
    <row r="171" spans="2:2">
      <c r="B171" t="s">
        <v>1754</v>
      </c>
    </row>
    <row r="172" spans="2:2">
      <c r="B172" t="s">
        <v>1755</v>
      </c>
    </row>
    <row r="174" spans="2:2">
      <c r="B174" t="s">
        <v>1756</v>
      </c>
    </row>
    <row r="175" spans="2:2">
      <c r="B175" t="s">
        <v>1757</v>
      </c>
    </row>
    <row r="177" spans="2:2">
      <c r="B177" t="s">
        <v>1758</v>
      </c>
    </row>
    <row r="178" spans="2:2">
      <c r="B178" t="s">
        <v>1759</v>
      </c>
    </row>
    <row r="179" spans="2:2">
      <c r="B179" t="s">
        <v>1760</v>
      </c>
    </row>
  </sheetData>
  <phoneticPr fontId="5" type="noConversion"/>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AG28"/>
  <sheetViews>
    <sheetView zoomScale="115" zoomScaleNormal="115" workbookViewId="0">
      <selection sqref="A1:AB1"/>
    </sheetView>
  </sheetViews>
  <sheetFormatPr defaultRowHeight="16.5"/>
  <cols>
    <col min="1" max="28" width="3.125" customWidth="1"/>
    <col min="32" max="32" width="25.5" customWidth="1"/>
  </cols>
  <sheetData>
    <row r="1" spans="1:33">
      <c r="A1" s="29"/>
      <c r="B1" s="29">
        <v>0</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33">
      <c r="A2" s="29"/>
      <c r="B2" s="29"/>
      <c r="C2" s="29"/>
      <c r="D2" s="29"/>
      <c r="E2" s="29"/>
      <c r="F2" s="29"/>
      <c r="G2" s="29"/>
      <c r="H2" s="29"/>
      <c r="I2" s="29"/>
      <c r="J2" s="30">
        <v>1</v>
      </c>
      <c r="K2" s="30"/>
      <c r="L2" s="30"/>
      <c r="M2" s="30"/>
      <c r="N2" s="30"/>
      <c r="O2" s="29"/>
      <c r="P2" s="29"/>
      <c r="Q2" s="29"/>
      <c r="R2" s="29"/>
      <c r="S2" s="29"/>
      <c r="T2" s="29"/>
      <c r="U2" s="29"/>
      <c r="V2" s="29"/>
      <c r="W2" s="29"/>
      <c r="X2" s="29"/>
      <c r="Y2" s="29"/>
      <c r="Z2" s="29"/>
      <c r="AA2" s="29"/>
      <c r="AB2" s="29"/>
    </row>
    <row r="3" spans="1:33">
      <c r="A3" s="29"/>
      <c r="B3" s="29"/>
      <c r="C3" s="29"/>
      <c r="D3" s="29"/>
      <c r="E3" s="29"/>
      <c r="F3" s="29"/>
      <c r="G3" s="29"/>
      <c r="H3" s="29"/>
      <c r="I3" s="30"/>
      <c r="J3" s="30"/>
      <c r="K3" s="29"/>
      <c r="L3" s="29"/>
      <c r="M3" s="29"/>
      <c r="N3" s="29"/>
      <c r="O3" s="30"/>
      <c r="P3" s="30"/>
      <c r="Q3" s="29"/>
      <c r="R3" s="29"/>
      <c r="S3" s="29"/>
      <c r="T3" s="29"/>
      <c r="U3" s="29"/>
      <c r="V3" s="29"/>
      <c r="W3" s="29"/>
      <c r="X3" s="29"/>
      <c r="Y3" s="29"/>
      <c r="Z3" s="29"/>
      <c r="AA3" s="29"/>
      <c r="AB3" s="29"/>
    </row>
    <row r="4" spans="1:33">
      <c r="A4" s="29"/>
      <c r="B4" s="29"/>
      <c r="C4" s="29"/>
      <c r="D4" s="29"/>
      <c r="E4" s="29"/>
      <c r="F4" s="29"/>
      <c r="G4" s="29"/>
      <c r="H4" s="30"/>
      <c r="I4" s="30"/>
      <c r="J4" s="30"/>
      <c r="K4" s="29"/>
      <c r="L4" s="29"/>
      <c r="M4" s="29"/>
      <c r="N4" s="29"/>
      <c r="O4" s="30"/>
      <c r="P4" s="30"/>
      <c r="Q4" s="29"/>
      <c r="R4" s="29"/>
      <c r="S4" s="29"/>
      <c r="T4" s="29"/>
      <c r="U4" s="29"/>
      <c r="V4" s="29"/>
      <c r="W4" s="29"/>
      <c r="X4" s="29"/>
      <c r="Y4" s="29"/>
      <c r="Z4" s="29"/>
      <c r="AA4" s="29"/>
      <c r="AB4" s="29"/>
    </row>
    <row r="5" spans="1:33">
      <c r="A5" s="29"/>
      <c r="B5" s="29"/>
      <c r="C5" s="29"/>
      <c r="D5" s="29"/>
      <c r="E5" s="29"/>
      <c r="F5" s="29"/>
      <c r="G5" s="29"/>
      <c r="H5" s="30"/>
      <c r="I5" s="30"/>
      <c r="J5" s="29"/>
      <c r="K5" s="29"/>
      <c r="L5" s="29"/>
      <c r="M5" s="29"/>
      <c r="N5" s="29"/>
      <c r="O5" s="30"/>
      <c r="P5" s="30"/>
      <c r="Q5" s="29"/>
      <c r="R5" s="29"/>
      <c r="S5" s="29"/>
      <c r="T5" s="29"/>
      <c r="U5" s="29"/>
      <c r="V5" s="29"/>
      <c r="W5" s="29"/>
      <c r="X5" s="29"/>
      <c r="Y5" s="29"/>
      <c r="Z5" s="29"/>
      <c r="AA5" s="29"/>
      <c r="AB5" s="29"/>
      <c r="AE5">
        <v>28</v>
      </c>
      <c r="AF5">
        <v>28</v>
      </c>
      <c r="AG5">
        <f>AE5*AF5</f>
        <v>784</v>
      </c>
    </row>
    <row r="6" spans="1:33">
      <c r="A6" s="29"/>
      <c r="B6" s="29"/>
      <c r="C6" s="29"/>
      <c r="D6" s="29"/>
      <c r="E6" s="29"/>
      <c r="F6" s="29"/>
      <c r="G6" s="29"/>
      <c r="H6" s="30"/>
      <c r="I6" s="30"/>
      <c r="J6" s="29"/>
      <c r="K6" s="29"/>
      <c r="L6" s="29"/>
      <c r="M6" s="29"/>
      <c r="N6" s="29"/>
      <c r="O6" s="30"/>
      <c r="P6" s="30"/>
      <c r="Q6" s="30"/>
      <c r="R6" s="29"/>
      <c r="S6" s="29"/>
      <c r="T6" s="29"/>
      <c r="U6" s="29"/>
      <c r="V6" s="29"/>
      <c r="W6" s="29"/>
      <c r="X6" s="29"/>
      <c r="Y6" s="29"/>
      <c r="Z6" s="29"/>
      <c r="AA6" s="29"/>
      <c r="AB6" s="29"/>
    </row>
    <row r="7" spans="1:33">
      <c r="A7" s="29"/>
      <c r="B7" s="29"/>
      <c r="C7" s="29"/>
      <c r="D7" s="29"/>
      <c r="E7" s="29"/>
      <c r="F7" s="29"/>
      <c r="G7" s="29"/>
      <c r="H7" s="30"/>
      <c r="I7" s="30"/>
      <c r="J7" s="29"/>
      <c r="K7" s="29"/>
      <c r="L7" s="29"/>
      <c r="M7" s="29"/>
      <c r="N7" s="29"/>
      <c r="O7" s="29"/>
      <c r="P7" s="30"/>
      <c r="Q7" s="30"/>
      <c r="R7" s="29"/>
      <c r="S7" s="29"/>
      <c r="T7" s="29"/>
      <c r="U7" s="29"/>
      <c r="V7" s="29"/>
      <c r="W7" s="29"/>
      <c r="X7" s="29"/>
      <c r="Y7" s="29"/>
      <c r="Z7" s="29"/>
      <c r="AA7" s="29"/>
      <c r="AB7" s="29"/>
    </row>
    <row r="8" spans="1:33">
      <c r="A8" s="29"/>
      <c r="B8" s="29"/>
      <c r="C8" s="29"/>
      <c r="D8" s="29"/>
      <c r="E8" s="29"/>
      <c r="F8" s="29"/>
      <c r="G8" s="29"/>
      <c r="H8" s="30"/>
      <c r="I8" s="30"/>
      <c r="J8" s="29"/>
      <c r="K8" s="29"/>
      <c r="L8" s="29"/>
      <c r="M8" s="29"/>
      <c r="N8" s="29"/>
      <c r="O8" s="29"/>
      <c r="P8" s="30"/>
      <c r="Q8" s="30"/>
      <c r="R8" s="29"/>
      <c r="S8" s="29"/>
      <c r="T8" s="29"/>
      <c r="U8" s="29"/>
      <c r="V8" s="29"/>
      <c r="W8" s="29"/>
      <c r="X8" s="29"/>
      <c r="Y8" s="29"/>
      <c r="Z8" s="29"/>
      <c r="AA8" s="29"/>
      <c r="AB8" s="29"/>
      <c r="AF8">
        <f>2^784</f>
        <v>1.0174582569701926E+236</v>
      </c>
    </row>
    <row r="9" spans="1:33">
      <c r="A9" s="29"/>
      <c r="B9" s="29"/>
      <c r="C9" s="29"/>
      <c r="D9" s="29"/>
      <c r="E9" s="29"/>
      <c r="F9" s="29"/>
      <c r="G9" s="29"/>
      <c r="H9" s="30"/>
      <c r="I9" s="30"/>
      <c r="J9" s="29"/>
      <c r="K9" s="29"/>
      <c r="L9" s="29"/>
      <c r="M9" s="29"/>
      <c r="N9" s="29"/>
      <c r="O9" s="29"/>
      <c r="P9" s="30"/>
      <c r="Q9" s="30"/>
      <c r="R9" s="30"/>
      <c r="S9" s="29"/>
      <c r="T9" s="29"/>
      <c r="U9" s="29"/>
      <c r="V9" s="29"/>
      <c r="W9" s="29"/>
      <c r="X9" s="29"/>
      <c r="Y9" s="29"/>
      <c r="Z9" s="29"/>
      <c r="AA9" s="29"/>
      <c r="AB9" s="29"/>
    </row>
    <row r="10" spans="1:33">
      <c r="A10" s="29"/>
      <c r="B10" s="29"/>
      <c r="C10" s="29"/>
      <c r="D10" s="29"/>
      <c r="E10" s="29"/>
      <c r="F10" s="29"/>
      <c r="G10" s="29"/>
      <c r="H10" s="30"/>
      <c r="I10" s="30"/>
      <c r="J10" s="29"/>
      <c r="K10" s="29"/>
      <c r="L10" s="29"/>
      <c r="M10" s="29"/>
      <c r="N10" s="29"/>
      <c r="O10" s="29"/>
      <c r="P10" s="30"/>
      <c r="Q10" s="30"/>
      <c r="R10" s="29"/>
      <c r="S10" s="29"/>
      <c r="T10" s="29"/>
      <c r="U10" s="29"/>
      <c r="V10" s="29"/>
      <c r="W10" s="29"/>
      <c r="X10" s="29"/>
      <c r="Y10" s="29"/>
      <c r="Z10" s="29"/>
      <c r="AA10" s="29"/>
      <c r="AB10" s="29"/>
    </row>
    <row r="11" spans="1:33">
      <c r="A11" s="29"/>
      <c r="B11" s="29"/>
      <c r="C11" s="29"/>
      <c r="D11" s="29"/>
      <c r="E11" s="29"/>
      <c r="F11" s="29"/>
      <c r="G11" s="29"/>
      <c r="H11" s="30"/>
      <c r="I11" s="30"/>
      <c r="J11" s="29"/>
      <c r="K11" s="29"/>
      <c r="L11" s="29"/>
      <c r="M11" s="29"/>
      <c r="N11" s="29"/>
      <c r="O11" s="29"/>
      <c r="P11" s="30"/>
      <c r="Q11" s="29"/>
      <c r="R11" s="29"/>
      <c r="S11" s="29"/>
      <c r="T11" s="29"/>
      <c r="U11" s="29"/>
      <c r="V11" s="29"/>
      <c r="W11" s="29"/>
      <c r="X11" s="29"/>
      <c r="Y11" s="29"/>
      <c r="Z11" s="29"/>
      <c r="AA11" s="29"/>
      <c r="AB11" s="29"/>
    </row>
    <row r="12" spans="1:33">
      <c r="A12" s="29"/>
      <c r="B12" s="29"/>
      <c r="C12" s="29"/>
      <c r="D12" s="29"/>
      <c r="E12" s="29"/>
      <c r="F12" s="29"/>
      <c r="G12" s="29"/>
      <c r="H12" s="30"/>
      <c r="I12" s="30"/>
      <c r="J12" s="29"/>
      <c r="K12" s="29"/>
      <c r="L12" s="29"/>
      <c r="M12" s="29"/>
      <c r="N12" s="29"/>
      <c r="O12" s="29"/>
      <c r="P12" s="30"/>
      <c r="Q12" s="30"/>
      <c r="R12" s="29"/>
      <c r="S12" s="29"/>
      <c r="T12" s="29"/>
      <c r="U12" s="29"/>
      <c r="V12" s="29"/>
      <c r="W12" s="29"/>
      <c r="X12" s="29"/>
      <c r="Y12" s="29"/>
      <c r="Z12" s="29"/>
      <c r="AA12" s="29"/>
      <c r="AB12" s="29"/>
    </row>
    <row r="13" spans="1:33">
      <c r="A13" s="29"/>
      <c r="B13" s="29"/>
      <c r="C13" s="29"/>
      <c r="D13" s="29"/>
      <c r="E13" s="29"/>
      <c r="F13" s="29"/>
      <c r="G13" s="29"/>
      <c r="H13" s="30"/>
      <c r="I13" s="30"/>
      <c r="J13" s="29"/>
      <c r="K13" s="29"/>
      <c r="L13" s="29"/>
      <c r="M13" s="29"/>
      <c r="N13" s="29"/>
      <c r="O13" s="29"/>
      <c r="P13" s="30"/>
      <c r="Q13" s="30"/>
      <c r="R13" s="29"/>
      <c r="S13" s="29"/>
      <c r="T13" s="29"/>
      <c r="U13" s="29"/>
      <c r="V13" s="29"/>
      <c r="W13" s="29"/>
      <c r="X13" s="29"/>
      <c r="Y13" s="29"/>
      <c r="Z13" s="29"/>
      <c r="AA13" s="29"/>
      <c r="AB13" s="29"/>
    </row>
    <row r="14" spans="1:33">
      <c r="A14" s="29"/>
      <c r="B14" s="29"/>
      <c r="C14" s="29"/>
      <c r="D14" s="29"/>
      <c r="E14" s="29"/>
      <c r="F14" s="29"/>
      <c r="G14" s="29"/>
      <c r="H14" s="30"/>
      <c r="I14" s="30"/>
      <c r="J14" s="30"/>
      <c r="K14" s="29"/>
      <c r="L14" s="29"/>
      <c r="M14" s="29"/>
      <c r="N14" s="29"/>
      <c r="O14" s="30"/>
      <c r="P14" s="30"/>
      <c r="Q14" s="29"/>
      <c r="R14" s="29"/>
      <c r="S14" s="29"/>
      <c r="T14" s="29"/>
      <c r="U14" s="29"/>
      <c r="V14" s="29"/>
      <c r="W14" s="29"/>
      <c r="X14" s="29"/>
      <c r="Y14" s="29"/>
      <c r="Z14" s="29"/>
      <c r="AA14" s="29"/>
      <c r="AB14" s="29"/>
    </row>
    <row r="15" spans="1:33">
      <c r="A15" s="29"/>
      <c r="B15" s="29"/>
      <c r="C15" s="29"/>
      <c r="D15" s="29"/>
      <c r="E15" s="29"/>
      <c r="F15" s="29"/>
      <c r="G15" s="29"/>
      <c r="H15" s="29"/>
      <c r="I15" s="30"/>
      <c r="J15" s="30"/>
      <c r="K15" s="29"/>
      <c r="L15" s="29"/>
      <c r="M15" s="29"/>
      <c r="N15" s="30"/>
      <c r="O15" s="30"/>
      <c r="P15" s="30"/>
      <c r="Q15" s="29"/>
      <c r="R15" s="29"/>
      <c r="S15" s="29"/>
      <c r="T15" s="29"/>
      <c r="U15" s="29"/>
      <c r="V15" s="29"/>
      <c r="W15" s="29"/>
      <c r="X15" s="29"/>
      <c r="Y15" s="29"/>
      <c r="Z15" s="29"/>
      <c r="AA15" s="29"/>
      <c r="AB15" s="29"/>
    </row>
    <row r="16" spans="1:33">
      <c r="A16" s="29"/>
      <c r="B16" s="29"/>
      <c r="C16" s="29"/>
      <c r="D16" s="29"/>
      <c r="E16" s="29"/>
      <c r="F16" s="29"/>
      <c r="G16" s="29"/>
      <c r="H16" s="29"/>
      <c r="I16" s="29"/>
      <c r="J16" s="30"/>
      <c r="K16" s="30"/>
      <c r="L16" s="29"/>
      <c r="M16" s="29"/>
      <c r="N16" s="30"/>
      <c r="O16" s="30"/>
      <c r="P16" s="30"/>
      <c r="Q16" s="29"/>
      <c r="R16" s="29"/>
      <c r="S16" s="29"/>
      <c r="T16" s="29"/>
      <c r="U16" s="29"/>
      <c r="V16" s="29"/>
      <c r="W16" s="29"/>
      <c r="X16" s="29"/>
      <c r="Y16" s="29"/>
      <c r="Z16" s="29"/>
      <c r="AA16" s="29"/>
      <c r="AB16" s="29"/>
    </row>
    <row r="17" spans="1:28">
      <c r="A17" s="29"/>
      <c r="B17" s="29"/>
      <c r="C17" s="29"/>
      <c r="D17" s="29"/>
      <c r="E17" s="29"/>
      <c r="F17" s="29"/>
      <c r="G17" s="29"/>
      <c r="H17" s="29"/>
      <c r="I17" s="29"/>
      <c r="J17" s="30"/>
      <c r="K17" s="30"/>
      <c r="L17" s="30"/>
      <c r="M17" s="30"/>
      <c r="N17" s="30"/>
      <c r="O17" s="29"/>
      <c r="P17" s="29"/>
      <c r="Q17" s="29"/>
      <c r="R17" s="29"/>
      <c r="S17" s="29"/>
      <c r="T17" s="29"/>
      <c r="U17" s="29"/>
      <c r="V17" s="29"/>
      <c r="W17" s="29"/>
      <c r="X17" s="29"/>
      <c r="Y17" s="29"/>
      <c r="Z17" s="29"/>
      <c r="AA17" s="29"/>
      <c r="AB17" s="29"/>
    </row>
    <row r="18" spans="1:28">
      <c r="A18" s="29"/>
      <c r="B18" s="29"/>
      <c r="C18" s="29"/>
      <c r="D18" s="29"/>
      <c r="E18" s="29"/>
      <c r="F18" s="29"/>
      <c r="G18" s="29"/>
      <c r="H18" s="29"/>
      <c r="I18" s="29"/>
      <c r="J18" s="29"/>
      <c r="K18" s="29"/>
      <c r="L18" s="29"/>
      <c r="M18" s="29"/>
      <c r="N18" s="29"/>
      <c r="O18" s="29"/>
      <c r="P18" s="29"/>
      <c r="Q18" s="29"/>
      <c r="R18" s="29"/>
      <c r="S18" s="29"/>
      <c r="T18" s="29"/>
      <c r="U18" s="29"/>
      <c r="V18" s="29"/>
      <c r="W18" s="29"/>
      <c r="X18" s="29"/>
      <c r="Y18" s="29"/>
      <c r="Z18" s="29"/>
      <c r="AA18" s="29"/>
      <c r="AB18" s="29"/>
    </row>
    <row r="19" spans="1:28">
      <c r="A19" s="29"/>
      <c r="B19" s="29"/>
      <c r="C19" s="29"/>
      <c r="D19" s="29"/>
      <c r="E19" s="29"/>
      <c r="F19" s="29"/>
      <c r="G19" s="29"/>
      <c r="H19" s="29"/>
      <c r="I19" s="29"/>
      <c r="J19" s="29"/>
      <c r="K19" s="29"/>
      <c r="L19" s="29"/>
      <c r="M19" s="29"/>
      <c r="N19" s="29"/>
      <c r="O19" s="29"/>
      <c r="P19" s="29"/>
      <c r="Q19" s="29"/>
      <c r="R19" s="29"/>
      <c r="S19" s="29"/>
      <c r="T19" s="29"/>
      <c r="U19" s="29"/>
      <c r="V19" s="29"/>
      <c r="W19" s="29"/>
      <c r="X19" s="29"/>
      <c r="Y19" s="29"/>
      <c r="Z19" s="29"/>
      <c r="AA19" s="29"/>
      <c r="AB19" s="29"/>
    </row>
    <row r="20" spans="1:28">
      <c r="A20" s="29"/>
      <c r="B20" s="29"/>
      <c r="C20" s="29"/>
      <c r="D20" s="29"/>
      <c r="E20" s="29"/>
      <c r="F20" s="29"/>
      <c r="G20" s="29"/>
      <c r="H20" s="29"/>
      <c r="I20" s="29"/>
      <c r="J20" s="29"/>
      <c r="K20" s="29"/>
      <c r="L20" s="29"/>
      <c r="M20" s="29"/>
      <c r="N20" s="29"/>
      <c r="O20" s="29"/>
      <c r="P20" s="29"/>
      <c r="Q20" s="29"/>
      <c r="R20" s="29"/>
      <c r="S20" s="29"/>
      <c r="T20" s="29"/>
      <c r="U20" s="29"/>
      <c r="V20" s="29"/>
      <c r="W20" s="29"/>
      <c r="X20" s="29"/>
      <c r="Y20" s="29"/>
      <c r="Z20" s="29"/>
      <c r="AA20" s="29"/>
      <c r="AB20" s="29"/>
    </row>
    <row r="21" spans="1:28">
      <c r="A21" s="29"/>
      <c r="B21" s="29"/>
      <c r="C21" s="29"/>
      <c r="D21" s="29"/>
      <c r="E21" s="29"/>
      <c r="F21" s="29"/>
      <c r="G21" s="29"/>
      <c r="H21" s="29"/>
      <c r="I21" s="29"/>
      <c r="J21" s="29"/>
      <c r="K21" s="29"/>
      <c r="L21" s="29"/>
      <c r="M21" s="29"/>
      <c r="N21" s="29"/>
      <c r="O21" s="29"/>
      <c r="P21" s="29"/>
      <c r="Q21" s="29"/>
      <c r="R21" s="29"/>
      <c r="S21" s="29"/>
      <c r="T21" s="29"/>
      <c r="U21" s="29"/>
      <c r="V21" s="29"/>
      <c r="W21" s="29"/>
      <c r="X21" s="29"/>
      <c r="Y21" s="29"/>
      <c r="Z21" s="29"/>
      <c r="AA21" s="29"/>
      <c r="AB21" s="29"/>
    </row>
    <row r="22" spans="1:28">
      <c r="A22" s="29"/>
      <c r="B22" s="29"/>
      <c r="C22" s="29"/>
      <c r="D22" s="29"/>
      <c r="E22" s="29"/>
      <c r="F22" s="29"/>
      <c r="G22" s="29"/>
      <c r="H22" s="29"/>
      <c r="I22" s="29"/>
      <c r="J22" s="29"/>
      <c r="K22" s="29"/>
      <c r="L22" s="29"/>
      <c r="M22" s="29"/>
      <c r="N22" s="29"/>
      <c r="O22" s="29"/>
      <c r="P22" s="29"/>
      <c r="Q22" s="29"/>
      <c r="R22" s="29"/>
      <c r="S22" s="29"/>
      <c r="T22" s="29"/>
      <c r="U22" s="29"/>
      <c r="V22" s="29"/>
      <c r="W22" s="29"/>
      <c r="X22" s="29"/>
      <c r="Y22" s="29"/>
      <c r="Z22" s="29"/>
      <c r="AA22" s="29"/>
      <c r="AB22" s="29"/>
    </row>
    <row r="23" spans="1:28">
      <c r="A23" s="29"/>
      <c r="B23" s="29"/>
      <c r="C23" s="29"/>
      <c r="D23" s="29"/>
      <c r="E23" s="29"/>
      <c r="F23" s="29"/>
      <c r="G23" s="29"/>
      <c r="H23" s="29"/>
      <c r="I23" s="29"/>
      <c r="J23" s="29"/>
      <c r="K23" s="29"/>
      <c r="L23" s="29"/>
      <c r="M23" s="29"/>
      <c r="N23" s="29"/>
      <c r="O23" s="29"/>
      <c r="P23" s="29"/>
      <c r="Q23" s="29"/>
      <c r="R23" s="29"/>
      <c r="S23" s="29"/>
      <c r="T23" s="29"/>
      <c r="U23" s="29"/>
      <c r="V23" s="29"/>
      <c r="W23" s="29"/>
      <c r="X23" s="29"/>
      <c r="Y23" s="29"/>
      <c r="Z23" s="29"/>
      <c r="AA23" s="29"/>
      <c r="AB23" s="29"/>
    </row>
    <row r="24" spans="1:28">
      <c r="A24" s="29"/>
      <c r="B24" s="29"/>
      <c r="C24" s="29"/>
      <c r="D24" s="29"/>
      <c r="E24" s="29"/>
      <c r="F24" s="29"/>
      <c r="G24" s="29"/>
      <c r="H24" s="29"/>
      <c r="I24" s="29"/>
      <c r="J24" s="29"/>
      <c r="K24" s="29"/>
      <c r="L24" s="29"/>
      <c r="M24" s="29"/>
      <c r="N24" s="29"/>
      <c r="O24" s="29"/>
      <c r="P24" s="29"/>
      <c r="Q24" s="29"/>
      <c r="R24" s="29"/>
      <c r="S24" s="29"/>
      <c r="T24" s="29"/>
      <c r="U24" s="29"/>
      <c r="V24" s="29"/>
      <c r="W24" s="29"/>
      <c r="X24" s="29"/>
      <c r="Y24" s="29"/>
      <c r="Z24" s="29"/>
      <c r="AA24" s="29"/>
      <c r="AB24" s="29"/>
    </row>
    <row r="25" spans="1:28">
      <c r="A25" s="29"/>
      <c r="B25" s="29"/>
      <c r="C25" s="29"/>
      <c r="D25" s="29"/>
      <c r="E25" s="29"/>
      <c r="F25" s="29"/>
      <c r="G25" s="29"/>
      <c r="H25" s="29"/>
      <c r="I25" s="29"/>
      <c r="J25" s="29"/>
      <c r="K25" s="29"/>
      <c r="L25" s="29"/>
      <c r="M25" s="29"/>
      <c r="N25" s="29"/>
      <c r="O25" s="29"/>
      <c r="P25" s="29"/>
      <c r="Q25" s="29"/>
      <c r="R25" s="29"/>
      <c r="S25" s="29"/>
      <c r="T25" s="29"/>
      <c r="U25" s="29"/>
      <c r="V25" s="29"/>
      <c r="W25" s="29"/>
      <c r="X25" s="29"/>
      <c r="Y25" s="29"/>
      <c r="Z25" s="29"/>
      <c r="AA25" s="29"/>
      <c r="AB25" s="29"/>
    </row>
    <row r="26" spans="1:28">
      <c r="A26" s="29"/>
      <c r="B26" s="29"/>
      <c r="C26" s="29"/>
      <c r="D26" s="29"/>
      <c r="E26" s="29"/>
      <c r="F26" s="29"/>
      <c r="G26" s="29"/>
      <c r="H26" s="29"/>
      <c r="I26" s="29"/>
      <c r="J26" s="29"/>
      <c r="K26" s="29"/>
      <c r="L26" s="29"/>
      <c r="M26" s="29"/>
      <c r="N26" s="29"/>
      <c r="O26" s="29"/>
      <c r="P26" s="29"/>
      <c r="Q26" s="29"/>
      <c r="R26" s="29"/>
      <c r="S26" s="29"/>
      <c r="T26" s="29"/>
      <c r="U26" s="29"/>
      <c r="V26" s="29"/>
      <c r="W26" s="29"/>
      <c r="X26" s="29"/>
      <c r="Y26" s="29"/>
      <c r="Z26" s="29"/>
      <c r="AA26" s="29"/>
      <c r="AB26" s="29"/>
    </row>
    <row r="27" spans="1:28">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c r="AA27" s="29"/>
      <c r="AB27" s="29"/>
    </row>
    <row r="28" spans="1:28">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row>
  </sheetData>
  <phoneticPr fontId="5"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N13"/>
  <sheetViews>
    <sheetView zoomScale="115" zoomScaleNormal="115" workbookViewId="0">
      <selection activeCell="B2" sqref="B2:D6"/>
    </sheetView>
  </sheetViews>
  <sheetFormatPr defaultRowHeight="16.5"/>
  <cols>
    <col min="9" max="9" width="11.875" customWidth="1"/>
    <col min="10" max="10" width="14.5" customWidth="1"/>
    <col min="11" max="11" width="8.625" customWidth="1"/>
    <col min="12" max="12" width="14.5" customWidth="1"/>
    <col min="13" max="13" width="8.5" customWidth="1"/>
    <col min="14" max="14" width="14.5" customWidth="1"/>
    <col min="15" max="23" width="11.875" customWidth="1"/>
    <col min="24" max="25" width="13.875" customWidth="1"/>
    <col min="26" max="26" width="13.875" bestFit="1" customWidth="1"/>
  </cols>
  <sheetData>
    <row r="1" spans="1:14">
      <c r="A1" s="31" t="s">
        <v>166</v>
      </c>
      <c r="B1" s="31" t="s">
        <v>167</v>
      </c>
      <c r="C1" s="31" t="s">
        <v>168</v>
      </c>
      <c r="D1" s="31" t="s">
        <v>169</v>
      </c>
      <c r="I1" s="61" t="s">
        <v>175</v>
      </c>
      <c r="J1" t="s">
        <v>177</v>
      </c>
      <c r="K1" t="s">
        <v>178</v>
      </c>
      <c r="L1" t="s">
        <v>179</v>
      </c>
    </row>
    <row r="2" spans="1:14">
      <c r="A2" s="31" t="s">
        <v>170</v>
      </c>
      <c r="B2" s="31">
        <v>90</v>
      </c>
      <c r="C2" s="31">
        <v>95</v>
      </c>
      <c r="D2" s="31">
        <v>95</v>
      </c>
      <c r="I2" s="62" t="s">
        <v>50</v>
      </c>
      <c r="J2" s="63">
        <v>80</v>
      </c>
      <c r="K2" s="63">
        <v>90</v>
      </c>
      <c r="L2" s="63">
        <v>85</v>
      </c>
    </row>
    <row r="3" spans="1:14">
      <c r="A3" s="31" t="s">
        <v>171</v>
      </c>
      <c r="B3" s="31">
        <v>80</v>
      </c>
      <c r="C3" s="31">
        <v>90</v>
      </c>
      <c r="D3" s="31">
        <v>85</v>
      </c>
      <c r="I3" s="62" t="s">
        <v>51</v>
      </c>
      <c r="J3" s="63">
        <v>90</v>
      </c>
      <c r="K3" s="63">
        <v>95</v>
      </c>
      <c r="L3" s="63">
        <v>95</v>
      </c>
    </row>
    <row r="4" spans="1:14">
      <c r="A4" s="31" t="s">
        <v>172</v>
      </c>
      <c r="B4" s="31">
        <v>75</v>
      </c>
      <c r="C4" s="31">
        <v>90</v>
      </c>
      <c r="D4" s="31">
        <v>85</v>
      </c>
      <c r="I4" s="62" t="s">
        <v>52</v>
      </c>
      <c r="J4" s="63">
        <v>95</v>
      </c>
      <c r="K4" s="63">
        <v>70</v>
      </c>
      <c r="L4" s="63">
        <v>75</v>
      </c>
    </row>
    <row r="5" spans="1:14">
      <c r="A5" s="31" t="s">
        <v>173</v>
      </c>
      <c r="B5" s="31">
        <v>95</v>
      </c>
      <c r="C5" s="31">
        <v>70</v>
      </c>
      <c r="D5" s="31">
        <v>75</v>
      </c>
      <c r="I5" s="62" t="s">
        <v>53</v>
      </c>
      <c r="J5" s="63">
        <v>70</v>
      </c>
      <c r="K5" s="63">
        <v>85</v>
      </c>
      <c r="L5" s="63">
        <v>80</v>
      </c>
    </row>
    <row r="6" spans="1:14">
      <c r="A6" s="31" t="s">
        <v>174</v>
      </c>
      <c r="B6" s="31">
        <v>70</v>
      </c>
      <c r="C6" s="31">
        <v>85</v>
      </c>
      <c r="D6" s="31">
        <v>80</v>
      </c>
      <c r="I6" s="62" t="s">
        <v>54</v>
      </c>
      <c r="J6" s="63">
        <v>75</v>
      </c>
      <c r="K6" s="63">
        <v>90</v>
      </c>
      <c r="L6" s="63">
        <v>85</v>
      </c>
    </row>
    <row r="7" spans="1:14">
      <c r="I7" s="62" t="s">
        <v>176</v>
      </c>
      <c r="J7" s="63">
        <v>82</v>
      </c>
      <c r="K7" s="63">
        <v>86</v>
      </c>
      <c r="L7" s="63">
        <v>84</v>
      </c>
    </row>
    <row r="9" spans="1:14">
      <c r="A9" s="31" t="s">
        <v>183</v>
      </c>
      <c r="B9" s="31" t="s">
        <v>170</v>
      </c>
      <c r="C9" s="31" t="s">
        <v>171</v>
      </c>
      <c r="D9" s="31" t="s">
        <v>172</v>
      </c>
      <c r="E9" s="31" t="s">
        <v>173</v>
      </c>
      <c r="F9" s="31" t="s">
        <v>174</v>
      </c>
      <c r="I9" s="61" t="s">
        <v>175</v>
      </c>
      <c r="J9" t="s">
        <v>184</v>
      </c>
      <c r="K9" t="s">
        <v>185</v>
      </c>
      <c r="L9" t="s">
        <v>186</v>
      </c>
      <c r="M9" t="s">
        <v>187</v>
      </c>
      <c r="N9" t="s">
        <v>188</v>
      </c>
    </row>
    <row r="10" spans="1:14">
      <c r="A10" s="31" t="s">
        <v>167</v>
      </c>
      <c r="B10" s="31">
        <v>90</v>
      </c>
      <c r="C10" s="31">
        <v>80</v>
      </c>
      <c r="D10" s="31">
        <v>75</v>
      </c>
      <c r="E10" s="31">
        <v>95</v>
      </c>
      <c r="F10" s="31">
        <v>70</v>
      </c>
      <c r="I10" s="62" t="s">
        <v>180</v>
      </c>
      <c r="J10" s="63">
        <v>95</v>
      </c>
      <c r="K10" s="63">
        <v>85</v>
      </c>
      <c r="L10" s="63">
        <v>85</v>
      </c>
      <c r="M10" s="63">
        <v>75</v>
      </c>
      <c r="N10" s="63">
        <v>80</v>
      </c>
    </row>
    <row r="11" spans="1:14">
      <c r="A11" s="31" t="s">
        <v>168</v>
      </c>
      <c r="B11" s="31">
        <v>95</v>
      </c>
      <c r="C11" s="31">
        <v>90</v>
      </c>
      <c r="D11" s="31">
        <v>90</v>
      </c>
      <c r="E11" s="31">
        <v>70</v>
      </c>
      <c r="F11" s="31">
        <v>85</v>
      </c>
      <c r="I11" s="62" t="s">
        <v>181</v>
      </c>
      <c r="J11" s="63">
        <v>90</v>
      </c>
      <c r="K11" s="63">
        <v>80</v>
      </c>
      <c r="L11" s="63">
        <v>75</v>
      </c>
      <c r="M11" s="63">
        <v>95</v>
      </c>
      <c r="N11" s="63">
        <v>70</v>
      </c>
    </row>
    <row r="12" spans="1:14">
      <c r="A12" s="31" t="s">
        <v>169</v>
      </c>
      <c r="B12" s="31">
        <v>95</v>
      </c>
      <c r="C12" s="31">
        <v>85</v>
      </c>
      <c r="D12" s="31">
        <v>85</v>
      </c>
      <c r="E12" s="31">
        <v>75</v>
      </c>
      <c r="F12" s="31">
        <v>80</v>
      </c>
      <c r="I12" s="62" t="s">
        <v>182</v>
      </c>
      <c r="J12" s="63">
        <v>95</v>
      </c>
      <c r="K12" s="63">
        <v>90</v>
      </c>
      <c r="L12" s="63">
        <v>90</v>
      </c>
      <c r="M12" s="63">
        <v>70</v>
      </c>
      <c r="N12" s="63">
        <v>85</v>
      </c>
    </row>
    <row r="13" spans="1:14">
      <c r="I13" s="62" t="s">
        <v>176</v>
      </c>
      <c r="J13" s="64">
        <v>93.333333333333329</v>
      </c>
      <c r="K13" s="64">
        <v>85</v>
      </c>
      <c r="L13" s="64">
        <v>83.333333333333329</v>
      </c>
      <c r="M13" s="64">
        <v>80</v>
      </c>
      <c r="N13" s="64">
        <v>78.333333333333329</v>
      </c>
    </row>
  </sheetData>
  <phoneticPr fontId="5" type="noConversion"/>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N29"/>
  <sheetViews>
    <sheetView topLeftCell="A7" zoomScale="130" zoomScaleNormal="130" workbookViewId="0">
      <selection activeCell="A6" sqref="A6"/>
    </sheetView>
  </sheetViews>
  <sheetFormatPr defaultRowHeight="16.5"/>
  <cols>
    <col min="1" max="1" width="18.625" customWidth="1"/>
    <col min="3" max="3" width="11" bestFit="1" customWidth="1"/>
    <col min="5" max="5" width="11.75" customWidth="1"/>
    <col min="6" max="6" width="25.375" bestFit="1" customWidth="1"/>
  </cols>
  <sheetData>
    <row r="1" spans="1:6">
      <c r="A1" s="65" t="s">
        <v>189</v>
      </c>
      <c r="B1" s="65" t="s">
        <v>190</v>
      </c>
      <c r="C1" s="65" t="s">
        <v>194</v>
      </c>
      <c r="D1" s="65" t="s">
        <v>191</v>
      </c>
      <c r="E1" s="67" t="s">
        <v>195</v>
      </c>
      <c r="F1" s="67" t="s">
        <v>196</v>
      </c>
    </row>
    <row r="2" spans="1:6">
      <c r="A2" s="65">
        <v>2006</v>
      </c>
      <c r="B2" s="65">
        <v>13</v>
      </c>
      <c r="C2" s="65">
        <f>B2-$B$18</f>
        <v>-3.466666666666665</v>
      </c>
      <c r="D2" s="65">
        <v>94</v>
      </c>
      <c r="E2">
        <f>D2-$B$19</f>
        <v>-4.9333333333333371</v>
      </c>
      <c r="F2">
        <f>C2*E2</f>
        <v>17.102222222222228</v>
      </c>
    </row>
    <row r="3" spans="1:6">
      <c r="A3" s="65">
        <v>2007</v>
      </c>
      <c r="B3" s="65">
        <v>8</v>
      </c>
      <c r="C3" s="65">
        <f t="shared" ref="C3:C16" si="0">B3-$B$18</f>
        <v>-8.466666666666665</v>
      </c>
      <c r="D3" s="65">
        <v>70</v>
      </c>
      <c r="E3">
        <f t="shared" ref="E3:E16" si="1">D3-$B$19</f>
        <v>-28.933333333333337</v>
      </c>
      <c r="F3">
        <f t="shared" ref="F3:F16" si="2">C3*E3</f>
        <v>244.96888888888887</v>
      </c>
    </row>
    <row r="4" spans="1:6">
      <c r="A4" s="65">
        <v>2008</v>
      </c>
      <c r="B4" s="66">
        <v>10</v>
      </c>
      <c r="C4" s="65">
        <f t="shared" si="0"/>
        <v>-6.466666666666665</v>
      </c>
      <c r="D4" s="66">
        <v>90</v>
      </c>
      <c r="E4">
        <f t="shared" si="1"/>
        <v>-8.9333333333333371</v>
      </c>
      <c r="F4">
        <f t="shared" si="2"/>
        <v>57.768888888888895</v>
      </c>
    </row>
    <row r="5" spans="1:6">
      <c r="A5" s="65">
        <v>2009</v>
      </c>
      <c r="B5" s="65">
        <v>15</v>
      </c>
      <c r="C5" s="65">
        <f t="shared" si="0"/>
        <v>-1.466666666666665</v>
      </c>
      <c r="D5" s="65">
        <v>100</v>
      </c>
      <c r="E5">
        <f t="shared" si="1"/>
        <v>1.0666666666666629</v>
      </c>
      <c r="F5">
        <f t="shared" si="2"/>
        <v>-1.5644444444444372</v>
      </c>
    </row>
    <row r="6" spans="1:6">
      <c r="A6" s="65">
        <v>2010</v>
      </c>
      <c r="B6" s="65">
        <v>12</v>
      </c>
      <c r="C6" s="65">
        <f t="shared" si="0"/>
        <v>-4.466666666666665</v>
      </c>
      <c r="D6" s="65">
        <v>95</v>
      </c>
      <c r="E6">
        <f t="shared" si="1"/>
        <v>-3.9333333333333371</v>
      </c>
      <c r="F6">
        <f t="shared" si="2"/>
        <v>17.5688888888889</v>
      </c>
    </row>
    <row r="7" spans="1:6">
      <c r="A7" s="65">
        <v>2011</v>
      </c>
      <c r="B7" s="65">
        <v>15</v>
      </c>
      <c r="C7" s="65">
        <f t="shared" si="0"/>
        <v>-1.466666666666665</v>
      </c>
      <c r="D7" s="65">
        <v>100</v>
      </c>
      <c r="E7">
        <f t="shared" si="1"/>
        <v>1.0666666666666629</v>
      </c>
      <c r="F7">
        <f t="shared" si="2"/>
        <v>-1.5644444444444372</v>
      </c>
    </row>
    <row r="8" spans="1:6">
      <c r="A8" s="65">
        <v>2012</v>
      </c>
      <c r="B8" s="65">
        <v>14</v>
      </c>
      <c r="C8" s="65">
        <f t="shared" si="0"/>
        <v>-2.466666666666665</v>
      </c>
      <c r="D8" s="65">
        <v>85</v>
      </c>
      <c r="E8">
        <f t="shared" si="1"/>
        <v>-13.933333333333337</v>
      </c>
      <c r="F8">
        <f t="shared" si="2"/>
        <v>34.368888888888875</v>
      </c>
    </row>
    <row r="9" spans="1:6">
      <c r="A9" s="65">
        <v>2013</v>
      </c>
      <c r="B9" s="65">
        <v>15</v>
      </c>
      <c r="C9" s="65">
        <f t="shared" si="0"/>
        <v>-1.466666666666665</v>
      </c>
      <c r="D9" s="65">
        <v>95</v>
      </c>
      <c r="E9">
        <f t="shared" si="1"/>
        <v>-3.9333333333333371</v>
      </c>
      <c r="F9">
        <f t="shared" si="2"/>
        <v>5.7688888888888883</v>
      </c>
    </row>
    <row r="10" spans="1:6">
      <c r="A10" s="65">
        <v>2014</v>
      </c>
      <c r="B10" s="65">
        <v>17</v>
      </c>
      <c r="C10" s="65">
        <f t="shared" si="0"/>
        <v>0.53333333333333499</v>
      </c>
      <c r="D10" s="65">
        <v>105</v>
      </c>
      <c r="E10">
        <f t="shared" si="1"/>
        <v>6.0666666666666629</v>
      </c>
      <c r="F10">
        <f t="shared" si="2"/>
        <v>3.2355555555555635</v>
      </c>
    </row>
    <row r="11" spans="1:6">
      <c r="A11" s="65">
        <v>2015</v>
      </c>
      <c r="B11" s="65">
        <v>19</v>
      </c>
      <c r="C11" s="65">
        <f t="shared" si="0"/>
        <v>2.533333333333335</v>
      </c>
      <c r="D11" s="65">
        <v>105</v>
      </c>
      <c r="E11">
        <f t="shared" si="1"/>
        <v>6.0666666666666629</v>
      </c>
      <c r="F11">
        <f t="shared" si="2"/>
        <v>15.36888888888889</v>
      </c>
    </row>
    <row r="12" spans="1:6">
      <c r="A12" s="65">
        <v>2016</v>
      </c>
      <c r="B12" s="65">
        <v>20</v>
      </c>
      <c r="C12" s="65">
        <f t="shared" si="0"/>
        <v>3.533333333333335</v>
      </c>
      <c r="D12" s="65">
        <v>110</v>
      </c>
      <c r="E12">
        <f t="shared" si="1"/>
        <v>11.066666666666663</v>
      </c>
      <c r="F12">
        <f t="shared" si="2"/>
        <v>39.102222222222224</v>
      </c>
    </row>
    <row r="13" spans="1:6">
      <c r="A13" s="65">
        <v>2017</v>
      </c>
      <c r="B13" s="65">
        <v>21</v>
      </c>
      <c r="C13" s="65">
        <f t="shared" si="0"/>
        <v>4.533333333333335</v>
      </c>
      <c r="D13" s="65">
        <v>105</v>
      </c>
      <c r="E13">
        <f t="shared" si="1"/>
        <v>6.0666666666666629</v>
      </c>
      <c r="F13">
        <f t="shared" si="2"/>
        <v>27.502222222222215</v>
      </c>
    </row>
    <row r="14" spans="1:6">
      <c r="A14" s="65">
        <v>2018</v>
      </c>
      <c r="B14" s="65">
        <v>22</v>
      </c>
      <c r="C14" s="65">
        <f t="shared" si="0"/>
        <v>5.533333333333335</v>
      </c>
      <c r="D14" s="65">
        <v>104</v>
      </c>
      <c r="E14">
        <f t="shared" si="1"/>
        <v>5.0666666666666629</v>
      </c>
      <c r="F14">
        <f t="shared" si="2"/>
        <v>28.035555555555543</v>
      </c>
    </row>
    <row r="15" spans="1:6">
      <c r="A15" s="65">
        <v>2019</v>
      </c>
      <c r="B15" s="65">
        <v>21</v>
      </c>
      <c r="C15" s="65">
        <f t="shared" si="0"/>
        <v>4.533333333333335</v>
      </c>
      <c r="D15" s="65">
        <v>105</v>
      </c>
      <c r="E15">
        <f t="shared" si="1"/>
        <v>6.0666666666666629</v>
      </c>
      <c r="F15">
        <f t="shared" si="2"/>
        <v>27.502222222222215</v>
      </c>
    </row>
    <row r="16" spans="1:6">
      <c r="A16" s="65">
        <v>2020</v>
      </c>
      <c r="B16" s="65">
        <v>25</v>
      </c>
      <c r="C16" s="65">
        <f t="shared" si="0"/>
        <v>8.533333333333335</v>
      </c>
      <c r="D16" s="65">
        <v>121</v>
      </c>
      <c r="E16">
        <f t="shared" si="1"/>
        <v>22.066666666666663</v>
      </c>
      <c r="F16">
        <f t="shared" si="2"/>
        <v>188.30222222222221</v>
      </c>
    </row>
    <row r="17" spans="1:14">
      <c r="F17">
        <f>SUM(F2:F16)</f>
        <v>703.4666666666667</v>
      </c>
      <c r="H17" s="15" t="s">
        <v>198</v>
      </c>
      <c r="L17" s="15" t="s">
        <v>199</v>
      </c>
    </row>
    <row r="18" spans="1:14">
      <c r="A18" s="67" t="s">
        <v>192</v>
      </c>
      <c r="B18">
        <f>AVERAGE(B2:B16)</f>
        <v>16.466666666666665</v>
      </c>
      <c r="H18" s="518" t="s">
        <v>197</v>
      </c>
      <c r="I18" s="68">
        <f>F17</f>
        <v>703.4666666666667</v>
      </c>
      <c r="J18" s="518">
        <f>I18/I19</f>
        <v>46.897777777777783</v>
      </c>
      <c r="L18" s="518" t="s">
        <v>197</v>
      </c>
      <c r="M18" s="68">
        <f>I18</f>
        <v>703.4666666666667</v>
      </c>
      <c r="N18" s="518">
        <f>M18/M19</f>
        <v>50.247619047619047</v>
      </c>
    </row>
    <row r="19" spans="1:14">
      <c r="A19" s="65" t="s">
        <v>193</v>
      </c>
      <c r="B19">
        <f>AVERAGE(D2:D16)</f>
        <v>98.933333333333337</v>
      </c>
      <c r="H19" s="518"/>
      <c r="I19">
        <f>COUNT(B2:B16)</f>
        <v>15</v>
      </c>
      <c r="J19" s="518"/>
      <c r="L19" s="518"/>
      <c r="M19">
        <f>COUNT(F2:F16)-1</f>
        <v>14</v>
      </c>
      <c r="N19" s="518"/>
    </row>
    <row r="21" spans="1:14">
      <c r="A21" t="s">
        <v>200</v>
      </c>
      <c r="B21">
        <f>_xlfn.STDEV.P(B2:B16)</f>
        <v>4.6312945154555747</v>
      </c>
      <c r="H21">
        <f>_xlfn.COVARIANCE.P(B2:B16,D2:D16)</f>
        <v>46.897777777777783</v>
      </c>
    </row>
    <row r="22" spans="1:14">
      <c r="A22" t="s">
        <v>201</v>
      </c>
      <c r="B22">
        <f>_xlfn.STDEV.S(B2:B16)</f>
        <v>4.7938452604305413</v>
      </c>
      <c r="H22">
        <f>_xlfn.COVARIANCE.S(B2:B16,D2:D16)</f>
        <v>50.247619047619047</v>
      </c>
    </row>
    <row r="24" spans="1:14">
      <c r="A24" t="s">
        <v>202</v>
      </c>
      <c r="B24">
        <f>_xlfn.STDEV.P(D2:D16)</f>
        <v>11.404482549516318</v>
      </c>
    </row>
    <row r="25" spans="1:14">
      <c r="A25" t="s">
        <v>203</v>
      </c>
      <c r="B25">
        <f>_xlfn.STDEV.S(D2:D16)</f>
        <v>11.804760944313102</v>
      </c>
      <c r="H25" s="518" t="s">
        <v>204</v>
      </c>
      <c r="I25" s="68">
        <f>J18</f>
        <v>46.897777777777783</v>
      </c>
      <c r="J25" s="528">
        <f>I25/I26</f>
        <v>0.88792090224061171</v>
      </c>
      <c r="L25" s="518" t="s">
        <v>204</v>
      </c>
      <c r="M25" s="68">
        <f>N18</f>
        <v>50.247619047619047</v>
      </c>
      <c r="N25" s="518">
        <f>M25/M26</f>
        <v>0.88792090224061504</v>
      </c>
    </row>
    <row r="26" spans="1:14">
      <c r="H26" s="518"/>
      <c r="I26">
        <f>B21*B24</f>
        <v>52.817517483183735</v>
      </c>
      <c r="J26" s="528"/>
      <c r="L26" s="518"/>
      <c r="M26">
        <f>B22*B25</f>
        <v>56.590197303410925</v>
      </c>
      <c r="N26" s="518"/>
    </row>
    <row r="29" spans="1:14">
      <c r="H29">
        <f>CORREL(B2:B16,D2:D16)</f>
        <v>0.88792090224061171</v>
      </c>
    </row>
  </sheetData>
  <mergeCells count="8">
    <mergeCell ref="H18:H19"/>
    <mergeCell ref="J18:J19"/>
    <mergeCell ref="L18:L19"/>
    <mergeCell ref="N18:N19"/>
    <mergeCell ref="H25:H26"/>
    <mergeCell ref="J25:J26"/>
    <mergeCell ref="L25:L26"/>
    <mergeCell ref="N25:N26"/>
  </mergeCells>
  <phoneticPr fontId="5"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9:I170"/>
  <sheetViews>
    <sheetView showGridLines="0" topLeftCell="A16" zoomScaleNormal="100" workbookViewId="0">
      <selection activeCell="A170" sqref="A170:XFD170"/>
    </sheetView>
  </sheetViews>
  <sheetFormatPr defaultRowHeight="16.5"/>
  <sheetData>
    <row r="9" spans="2:7" s="1" customFormat="1">
      <c r="B9" s="1" t="s">
        <v>1299</v>
      </c>
    </row>
    <row r="11" spans="2:7">
      <c r="B11" t="s">
        <v>1300</v>
      </c>
      <c r="C11" t="s">
        <v>1301</v>
      </c>
      <c r="G11" s="290" t="s">
        <v>1327</v>
      </c>
    </row>
    <row r="12" spans="2:7">
      <c r="B12" t="s">
        <v>1302</v>
      </c>
      <c r="C12" t="s">
        <v>1303</v>
      </c>
      <c r="G12" s="290" t="s">
        <v>1328</v>
      </c>
    </row>
    <row r="13" spans="2:7">
      <c r="B13" t="s">
        <v>1304</v>
      </c>
      <c r="C13" t="s">
        <v>1305</v>
      </c>
      <c r="G13" s="290" t="s">
        <v>1329</v>
      </c>
    </row>
    <row r="16" spans="2:7" s="1" customFormat="1">
      <c r="B16" s="1" t="s">
        <v>1306</v>
      </c>
    </row>
    <row r="18" spans="2:2">
      <c r="B18" t="s">
        <v>1307</v>
      </c>
    </row>
    <row r="21" spans="2:2" s="1" customFormat="1">
      <c r="B21" s="1" t="s">
        <v>1308</v>
      </c>
    </row>
    <row r="24" spans="2:2">
      <c r="B24" t="s">
        <v>1310</v>
      </c>
    </row>
    <row r="25" spans="2:2" ht="17.25">
      <c r="B25" s="287" t="s">
        <v>1309</v>
      </c>
    </row>
    <row r="28" spans="2:2">
      <c r="B28" s="288" t="s">
        <v>1311</v>
      </c>
    </row>
    <row r="30" spans="2:2">
      <c r="B30" s="288" t="s">
        <v>1312</v>
      </c>
    </row>
    <row r="31" spans="2:2">
      <c r="B31" s="289" t="s">
        <v>1313</v>
      </c>
    </row>
    <row r="32" spans="2:2">
      <c r="B32" s="288" t="s">
        <v>1314</v>
      </c>
    </row>
    <row r="33" spans="2:3">
      <c r="B33" s="288"/>
    </row>
    <row r="34" spans="2:3">
      <c r="B34" s="288"/>
    </row>
    <row r="35" spans="2:3" s="1" customFormat="1">
      <c r="B35" s="291" t="s">
        <v>1330</v>
      </c>
    </row>
    <row r="36" spans="2:3">
      <c r="B36" s="288"/>
    </row>
    <row r="37" spans="2:3">
      <c r="B37" s="288"/>
      <c r="C37" s="292" t="s">
        <v>1331</v>
      </c>
    </row>
    <row r="38" spans="2:3">
      <c r="B38" s="288"/>
    </row>
    <row r="39" spans="2:3">
      <c r="B39" s="293" t="s">
        <v>1332</v>
      </c>
    </row>
    <row r="40" spans="2:3">
      <c r="B40" s="294" t="s">
        <v>1344</v>
      </c>
    </row>
    <row r="41" spans="2:3">
      <c r="B41" s="294" t="s">
        <v>1333</v>
      </c>
    </row>
    <row r="42" spans="2:3">
      <c r="B42" s="294" t="s">
        <v>1334</v>
      </c>
    </row>
    <row r="43" spans="2:3">
      <c r="B43" s="293" t="s">
        <v>1335</v>
      </c>
    </row>
    <row r="44" spans="2:3">
      <c r="B44" s="294" t="s">
        <v>1343</v>
      </c>
    </row>
    <row r="45" spans="2:3">
      <c r="B45" s="294" t="s">
        <v>1336</v>
      </c>
    </row>
    <row r="46" spans="2:3">
      <c r="B46" s="294" t="s">
        <v>1337</v>
      </c>
    </row>
    <row r="47" spans="2:3">
      <c r="B47" s="293" t="s">
        <v>1338</v>
      </c>
    </row>
    <row r="48" spans="2:3">
      <c r="B48" s="294" t="s">
        <v>1342</v>
      </c>
    </row>
    <row r="49" spans="2:9">
      <c r="B49" s="294" t="s">
        <v>1339</v>
      </c>
    </row>
    <row r="50" spans="2:9">
      <c r="B50" s="294" t="s">
        <v>1340</v>
      </c>
    </row>
    <row r="51" spans="2:9">
      <c r="B51" s="292" t="s">
        <v>1341</v>
      </c>
    </row>
    <row r="52" spans="2:9">
      <c r="B52" s="288"/>
    </row>
    <row r="53" spans="2:9">
      <c r="B53" s="288"/>
    </row>
    <row r="54" spans="2:9">
      <c r="B54" s="288"/>
    </row>
    <row r="55" spans="2:9">
      <c r="B55" s="288"/>
    </row>
    <row r="58" spans="2:9" s="1" customFormat="1">
      <c r="B58" s="1" t="s">
        <v>1315</v>
      </c>
    </row>
    <row r="61" spans="2:9">
      <c r="D61" t="s">
        <v>1316</v>
      </c>
      <c r="E61" t="s">
        <v>1317</v>
      </c>
      <c r="H61" t="s">
        <v>1323</v>
      </c>
      <c r="I61" t="s">
        <v>1324</v>
      </c>
    </row>
    <row r="62" spans="2:9">
      <c r="E62" t="s">
        <v>1318</v>
      </c>
      <c r="F62" t="s">
        <v>1319</v>
      </c>
      <c r="G62" s="2" t="s">
        <v>1321</v>
      </c>
      <c r="H62" t="s">
        <v>1322</v>
      </c>
      <c r="I62" t="s">
        <v>1325</v>
      </c>
    </row>
    <row r="63" spans="2:9">
      <c r="E63" t="s">
        <v>1316</v>
      </c>
      <c r="F63" t="s">
        <v>1320</v>
      </c>
      <c r="I63" t="s">
        <v>1326</v>
      </c>
    </row>
    <row r="71" spans="2:2" s="1" customFormat="1">
      <c r="B71" s="1" t="s">
        <v>1345</v>
      </c>
    </row>
    <row r="73" spans="2:2" ht="21.75">
      <c r="B73" s="177" t="s">
        <v>1346</v>
      </c>
    </row>
    <row r="74" spans="2:2">
      <c r="B74" s="129"/>
    </row>
    <row r="75" spans="2:2">
      <c r="B75" s="150" t="s">
        <v>1347</v>
      </c>
    </row>
    <row r="76" spans="2:2">
      <c r="B76" s="150" t="s">
        <v>1348</v>
      </c>
    </row>
    <row r="78" spans="2:2" ht="21.75">
      <c r="B78" s="177" t="s">
        <v>1349</v>
      </c>
    </row>
    <row r="79" spans="2:2">
      <c r="B79" s="129"/>
    </row>
    <row r="80" spans="2:2">
      <c r="B80" s="150" t="s">
        <v>1350</v>
      </c>
    </row>
    <row r="81" spans="2:2">
      <c r="B81" s="150" t="s">
        <v>1351</v>
      </c>
    </row>
    <row r="83" spans="2:2" ht="21.75">
      <c r="B83" s="177" t="s">
        <v>1352</v>
      </c>
    </row>
    <row r="84" spans="2:2">
      <c r="B84" s="129"/>
    </row>
    <row r="85" spans="2:2">
      <c r="B85" s="150" t="s">
        <v>1353</v>
      </c>
    </row>
    <row r="86" spans="2:2">
      <c r="B86" s="150" t="s">
        <v>1354</v>
      </c>
    </row>
    <row r="88" spans="2:2" ht="21.75">
      <c r="B88" s="177" t="s">
        <v>1355</v>
      </c>
    </row>
    <row r="89" spans="2:2">
      <c r="B89" s="129"/>
    </row>
    <row r="90" spans="2:2">
      <c r="B90" s="150" t="s">
        <v>1356</v>
      </c>
    </row>
    <row r="91" spans="2:2">
      <c r="B91" s="129"/>
    </row>
    <row r="92" spans="2:2">
      <c r="B92" s="129"/>
    </row>
    <row r="93" spans="2:2">
      <c r="B93" s="178" t="s">
        <v>1357</v>
      </c>
    </row>
    <row r="94" spans="2:2">
      <c r="B94" s="178" t="s">
        <v>1358</v>
      </c>
    </row>
    <row r="95" spans="2:2">
      <c r="B95" s="178" t="s">
        <v>1359</v>
      </c>
    </row>
    <row r="96" spans="2:2">
      <c r="B96" s="129"/>
    </row>
    <row r="97" spans="2:2">
      <c r="B97" s="150" t="s">
        <v>1360</v>
      </c>
    </row>
    <row r="98" spans="2:2">
      <c r="B98" s="129"/>
    </row>
    <row r="99" spans="2:2">
      <c r="B99" s="129"/>
    </row>
    <row r="100" spans="2:2">
      <c r="B100" s="178" t="s">
        <v>1361</v>
      </c>
    </row>
    <row r="101" spans="2:2">
      <c r="B101" s="178" t="s">
        <v>1362</v>
      </c>
    </row>
    <row r="105" spans="2:2" s="1" customFormat="1">
      <c r="B105" s="292" t="s">
        <v>1363</v>
      </c>
    </row>
    <row r="108" spans="2:2">
      <c r="B108" s="293" t="s">
        <v>1364</v>
      </c>
    </row>
    <row r="109" spans="2:2">
      <c r="B109" s="294" t="s">
        <v>1365</v>
      </c>
    </row>
    <row r="110" spans="2:2">
      <c r="B110" s="294" t="s">
        <v>1366</v>
      </c>
    </row>
    <row r="111" spans="2:2">
      <c r="B111" s="293" t="s">
        <v>1367</v>
      </c>
    </row>
    <row r="112" spans="2:2">
      <c r="B112" s="294" t="s">
        <v>1368</v>
      </c>
    </row>
    <row r="113" spans="2:2">
      <c r="B113" s="294" t="s">
        <v>1369</v>
      </c>
    </row>
    <row r="114" spans="2:2">
      <c r="B114" s="293" t="s">
        <v>1370</v>
      </c>
    </row>
    <row r="115" spans="2:2">
      <c r="B115" s="294" t="s">
        <v>1371</v>
      </c>
    </row>
    <row r="116" spans="2:2">
      <c r="B116" s="294" t="s">
        <v>1372</v>
      </c>
    </row>
    <row r="117" spans="2:2">
      <c r="B117" s="294" t="s">
        <v>1373</v>
      </c>
    </row>
    <row r="118" spans="2:2">
      <c r="B118" s="292" t="s">
        <v>1374</v>
      </c>
    </row>
    <row r="127" spans="2:2" s="1" customFormat="1">
      <c r="B127" s="1" t="s">
        <v>1375</v>
      </c>
    </row>
    <row r="129" spans="2:2" ht="21.75">
      <c r="B129" s="177" t="s">
        <v>1376</v>
      </c>
    </row>
    <row r="130" spans="2:2">
      <c r="B130" s="129"/>
    </row>
    <row r="131" spans="2:2">
      <c r="B131" s="150" t="s">
        <v>1377</v>
      </c>
    </row>
    <row r="132" spans="2:2">
      <c r="B132" s="150" t="s">
        <v>1378</v>
      </c>
    </row>
    <row r="133" spans="2:2">
      <c r="B133" s="178" t="s">
        <v>1379</v>
      </c>
    </row>
    <row r="134" spans="2:2">
      <c r="B134" s="178" t="s">
        <v>1380</v>
      </c>
    </row>
    <row r="135" spans="2:2">
      <c r="B135" s="150" t="s">
        <v>1381</v>
      </c>
    </row>
    <row r="137" spans="2:2" ht="21.75">
      <c r="B137" s="177" t="s">
        <v>1382</v>
      </c>
    </row>
    <row r="138" spans="2:2">
      <c r="B138" s="129"/>
    </row>
    <row r="139" spans="2:2">
      <c r="B139" s="150" t="s">
        <v>1383</v>
      </c>
    </row>
    <row r="140" spans="2:2">
      <c r="B140" s="150" t="s">
        <v>1378</v>
      </c>
    </row>
    <row r="141" spans="2:2">
      <c r="B141" s="178" t="s">
        <v>1384</v>
      </c>
    </row>
    <row r="142" spans="2:2">
      <c r="B142" s="178" t="s">
        <v>1385</v>
      </c>
    </row>
    <row r="143" spans="2:2">
      <c r="B143" s="150" t="s">
        <v>1386</v>
      </c>
    </row>
    <row r="145" spans="2:2" ht="21.75">
      <c r="B145" s="177" t="s">
        <v>1387</v>
      </c>
    </row>
    <row r="146" spans="2:2">
      <c r="B146" s="129"/>
    </row>
    <row r="147" spans="2:2">
      <c r="B147" s="150" t="s">
        <v>1388</v>
      </c>
    </row>
    <row r="148" spans="2:2">
      <c r="B148" s="150" t="s">
        <v>1378</v>
      </c>
    </row>
    <row r="149" spans="2:2">
      <c r="B149" s="178" t="s">
        <v>1389</v>
      </c>
    </row>
    <row r="150" spans="2:2">
      <c r="B150" s="178" t="s">
        <v>1390</v>
      </c>
    </row>
    <row r="151" spans="2:2">
      <c r="B151" s="150" t="s">
        <v>1391</v>
      </c>
    </row>
    <row r="153" spans="2:2" ht="21.75">
      <c r="B153" s="177" t="s">
        <v>1392</v>
      </c>
    </row>
    <row r="154" spans="2:2">
      <c r="B154" s="129"/>
    </row>
    <row r="155" spans="2:2">
      <c r="B155" s="150" t="s">
        <v>1393</v>
      </c>
    </row>
    <row r="156" spans="2:2">
      <c r="B156" s="150" t="s">
        <v>1394</v>
      </c>
    </row>
    <row r="157" spans="2:2">
      <c r="B157" s="150" t="s">
        <v>1395</v>
      </c>
    </row>
    <row r="159" spans="2:2" ht="21.75">
      <c r="B159" s="177" t="s">
        <v>615</v>
      </c>
    </row>
    <row r="160" spans="2:2">
      <c r="B160" s="129"/>
    </row>
    <row r="161" spans="2:2">
      <c r="B161" s="150" t="s">
        <v>1396</v>
      </c>
    </row>
    <row r="162" spans="2:2">
      <c r="B162" s="150" t="s">
        <v>1397</v>
      </c>
    </row>
    <row r="163" spans="2:2">
      <c r="B163" s="150" t="s">
        <v>1398</v>
      </c>
    </row>
    <row r="165" spans="2:2">
      <c r="B165" t="s">
        <v>1399</v>
      </c>
    </row>
    <row r="170" spans="2:2" s="1" customFormat="1">
      <c r="B170" s="297" t="s">
        <v>1448</v>
      </c>
    </row>
  </sheetData>
  <phoneticPr fontId="5" type="noConversion"/>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6:O51"/>
  <sheetViews>
    <sheetView topLeftCell="A31" zoomScale="130" zoomScaleNormal="130" workbookViewId="0">
      <selection activeCell="E36" sqref="E36"/>
    </sheetView>
  </sheetViews>
  <sheetFormatPr defaultRowHeight="16.5"/>
  <cols>
    <col min="1" max="1" width="19.5" bestFit="1" customWidth="1"/>
    <col min="11" max="11" width="11.625" bestFit="1" customWidth="1"/>
  </cols>
  <sheetData>
    <row r="6" spans="1:15">
      <c r="L6" s="72" t="s">
        <v>220</v>
      </c>
    </row>
    <row r="7" spans="1:15" s="33" customFormat="1" ht="31.5" customHeight="1">
      <c r="B7" s="76" t="s">
        <v>37</v>
      </c>
      <c r="C7" s="77" t="s">
        <v>235</v>
      </c>
      <c r="D7" s="78" t="s">
        <v>236</v>
      </c>
      <c r="E7" s="79" t="s">
        <v>237</v>
      </c>
      <c r="F7" s="80" t="s">
        <v>239</v>
      </c>
      <c r="G7" s="80" t="s">
        <v>240</v>
      </c>
      <c r="H7" s="77" t="s">
        <v>221</v>
      </c>
      <c r="I7" s="77" t="s">
        <v>225</v>
      </c>
      <c r="J7" s="77" t="s">
        <v>222</v>
      </c>
      <c r="K7" s="77" t="s">
        <v>224</v>
      </c>
    </row>
    <row r="8" spans="1:15">
      <c r="B8">
        <v>2</v>
      </c>
      <c r="C8">
        <f>$O$12*B8+$M$19</f>
        <v>83.6</v>
      </c>
      <c r="D8">
        <v>81</v>
      </c>
      <c r="E8">
        <f>D8-C8</f>
        <v>-2.5999999999999943</v>
      </c>
      <c r="F8">
        <f>ABS(E8)</f>
        <v>2.5999999999999943</v>
      </c>
      <c r="G8">
        <f>E8^2</f>
        <v>6.7599999999999705</v>
      </c>
      <c r="H8">
        <f>B8-$B$13</f>
        <v>-3</v>
      </c>
      <c r="I8">
        <f>H8^2</f>
        <v>9</v>
      </c>
      <c r="J8">
        <f>D8-$B$14</f>
        <v>-9.5</v>
      </c>
      <c r="K8">
        <f>H8*J8</f>
        <v>28.5</v>
      </c>
    </row>
    <row r="9" spans="1:15">
      <c r="B9">
        <v>4</v>
      </c>
      <c r="C9">
        <f>$O$12*B9+$M$19</f>
        <v>88.2</v>
      </c>
      <c r="D9">
        <v>93</v>
      </c>
      <c r="E9">
        <f>D9-C9</f>
        <v>4.7999999999999972</v>
      </c>
      <c r="F9">
        <f>ABS(E9)</f>
        <v>4.7999999999999972</v>
      </c>
      <c r="G9">
        <f>E9^2</f>
        <v>23.039999999999974</v>
      </c>
      <c r="H9">
        <f>B9-$B$13</f>
        <v>-1</v>
      </c>
      <c r="I9">
        <f>H9^2</f>
        <v>1</v>
      </c>
      <c r="J9">
        <f>D9-$B$14</f>
        <v>2.5</v>
      </c>
      <c r="K9">
        <f>H9*J9</f>
        <v>-2.5</v>
      </c>
    </row>
    <row r="10" spans="1:15">
      <c r="B10">
        <v>6</v>
      </c>
      <c r="C10">
        <f>$O$12*B10+$M$19</f>
        <v>92.8</v>
      </c>
      <c r="D10">
        <v>91</v>
      </c>
      <c r="E10">
        <f>D10-C10</f>
        <v>-1.7999999999999972</v>
      </c>
      <c r="F10">
        <f>ABS(E10)</f>
        <v>1.7999999999999972</v>
      </c>
      <c r="G10">
        <f>E10^2</f>
        <v>3.2399999999999896</v>
      </c>
      <c r="H10">
        <f>B10-$B$13</f>
        <v>1</v>
      </c>
      <c r="I10">
        <f>H10^2</f>
        <v>1</v>
      </c>
      <c r="J10">
        <f>D10-$B$14</f>
        <v>0.5</v>
      </c>
      <c r="K10">
        <f>H10*J10</f>
        <v>0.5</v>
      </c>
    </row>
    <row r="11" spans="1:15">
      <c r="B11">
        <v>8</v>
      </c>
      <c r="C11">
        <f>$O$12*B11+$M$19</f>
        <v>97.4</v>
      </c>
      <c r="D11">
        <v>97</v>
      </c>
      <c r="E11">
        <f>D11-C11</f>
        <v>-0.40000000000000568</v>
      </c>
      <c r="F11">
        <f>ABS(E11)</f>
        <v>0.40000000000000568</v>
      </c>
      <c r="G11">
        <f>E11^2</f>
        <v>0.16000000000000456</v>
      </c>
      <c r="H11">
        <f>B11-$B$13</f>
        <v>3</v>
      </c>
      <c r="I11">
        <f>H11^2</f>
        <v>9</v>
      </c>
      <c r="J11">
        <f>D11-$B$14</f>
        <v>6.5</v>
      </c>
      <c r="K11">
        <f>H11*J11</f>
        <v>19.5</v>
      </c>
    </row>
    <row r="12" spans="1:15">
      <c r="L12" s="518" t="s">
        <v>223</v>
      </c>
      <c r="M12" s="529">
        <f>SUM(K8:K11)</f>
        <v>46</v>
      </c>
      <c r="N12" s="529"/>
      <c r="O12" s="518">
        <f>M12/M13</f>
        <v>2.2999999999999998</v>
      </c>
    </row>
    <row r="13" spans="1:15">
      <c r="A13" t="s">
        <v>218</v>
      </c>
      <c r="B13">
        <f>AVERAGE(B8:B11)</f>
        <v>5</v>
      </c>
      <c r="L13" s="518"/>
      <c r="M13" s="530">
        <f>SUM(I8:I11)</f>
        <v>20</v>
      </c>
      <c r="N13" s="530"/>
      <c r="O13" s="518"/>
    </row>
    <row r="14" spans="1:15">
      <c r="A14" t="s">
        <v>219</v>
      </c>
      <c r="B14">
        <f>AVERAGE(D8:D11)</f>
        <v>90.5</v>
      </c>
    </row>
    <row r="15" spans="1:15" ht="30.75" customHeight="1">
      <c r="C15" s="517" t="s">
        <v>238</v>
      </c>
      <c r="D15" s="516"/>
      <c r="E15" s="33">
        <f>AVERAGE(F8:F11)</f>
        <v>2.3999999999999986</v>
      </c>
      <c r="L15" s="72" t="s">
        <v>226</v>
      </c>
    </row>
    <row r="17" spans="1:13">
      <c r="C17" s="516" t="s">
        <v>241</v>
      </c>
      <c r="D17" s="516"/>
      <c r="E17">
        <f>AVERAGE(G8:G11)</f>
        <v>8.2999999999999847</v>
      </c>
    </row>
    <row r="18" spans="1:13">
      <c r="C18" s="531" t="s">
        <v>242</v>
      </c>
      <c r="D18" s="531"/>
      <c r="E18">
        <f>SQRT(E17)</f>
        <v>2.8809720581775839</v>
      </c>
    </row>
    <row r="19" spans="1:13">
      <c r="L19" t="s">
        <v>227</v>
      </c>
      <c r="M19">
        <f>B14-(B13*O12)</f>
        <v>79</v>
      </c>
    </row>
    <row r="21" spans="1:13" ht="26.25">
      <c r="K21" t="s">
        <v>234</v>
      </c>
      <c r="L21" s="75" t="s">
        <v>228</v>
      </c>
    </row>
    <row r="22" spans="1:13">
      <c r="A22" t="s">
        <v>229</v>
      </c>
      <c r="L22" s="74"/>
    </row>
    <row r="23" spans="1:13">
      <c r="A23" t="s">
        <v>230</v>
      </c>
    </row>
    <row r="28" spans="1:13" ht="33.75">
      <c r="B28" s="76" t="s">
        <v>37</v>
      </c>
      <c r="C28" s="77" t="s">
        <v>235</v>
      </c>
      <c r="D28" s="78" t="s">
        <v>236</v>
      </c>
      <c r="E28" s="79" t="s">
        <v>237</v>
      </c>
      <c r="F28" s="80" t="s">
        <v>239</v>
      </c>
      <c r="G28" s="80" t="s">
        <v>240</v>
      </c>
    </row>
    <row r="29" spans="1:13">
      <c r="B29">
        <v>2</v>
      </c>
      <c r="C29">
        <f>$L$29*B29+$L$30</f>
        <v>82</v>
      </c>
      <c r="D29">
        <v>81</v>
      </c>
      <c r="E29">
        <f>D29-C29</f>
        <v>-1</v>
      </c>
      <c r="F29">
        <f>ABS(E29)</f>
        <v>1</v>
      </c>
      <c r="G29">
        <f>E29^2</f>
        <v>1</v>
      </c>
      <c r="H29" t="s">
        <v>231</v>
      </c>
      <c r="K29" s="15" t="s">
        <v>232</v>
      </c>
      <c r="L29" s="15">
        <v>3</v>
      </c>
    </row>
    <row r="30" spans="1:13">
      <c r="B30">
        <v>4</v>
      </c>
      <c r="C30">
        <f>$L$29*B30+$L$30</f>
        <v>88</v>
      </c>
      <c r="D30">
        <v>93</v>
      </c>
      <c r="E30">
        <f>D30-C30</f>
        <v>5</v>
      </c>
      <c r="F30">
        <f>ABS(E30)</f>
        <v>5</v>
      </c>
      <c r="G30">
        <f>E30^2</f>
        <v>25</v>
      </c>
      <c r="K30" s="15" t="s">
        <v>233</v>
      </c>
      <c r="L30" s="15">
        <v>76</v>
      </c>
    </row>
    <row r="31" spans="1:13">
      <c r="B31">
        <v>6</v>
      </c>
      <c r="C31">
        <f>$L$29*B31+$L$30</f>
        <v>94</v>
      </c>
      <c r="D31">
        <v>91</v>
      </c>
      <c r="E31">
        <f>D31-C31</f>
        <v>-3</v>
      </c>
      <c r="F31">
        <f>ABS(E31)</f>
        <v>3</v>
      </c>
      <c r="G31">
        <f>E31^2</f>
        <v>9</v>
      </c>
      <c r="K31" s="81" t="s">
        <v>243</v>
      </c>
    </row>
    <row r="32" spans="1:13">
      <c r="B32">
        <v>8</v>
      </c>
      <c r="C32">
        <f>$L$29*B32+$L$30</f>
        <v>100</v>
      </c>
      <c r="D32">
        <v>97</v>
      </c>
      <c r="E32">
        <f>D32-C32</f>
        <v>-3</v>
      </c>
      <c r="F32">
        <f>ABS(E32)</f>
        <v>3</v>
      </c>
      <c r="G32">
        <f>E32^2</f>
        <v>9</v>
      </c>
    </row>
    <row r="34" spans="2:13">
      <c r="C34" s="517" t="s">
        <v>238</v>
      </c>
      <c r="D34" s="516"/>
      <c r="E34" s="33">
        <f>AVERAGE(F29:F32)</f>
        <v>3</v>
      </c>
    </row>
    <row r="36" spans="2:13">
      <c r="C36" s="516" t="s">
        <v>241</v>
      </c>
      <c r="D36" s="516"/>
      <c r="E36">
        <f>AVERAGE(G29:G32)</f>
        <v>11</v>
      </c>
    </row>
    <row r="37" spans="2:13">
      <c r="C37" s="531" t="s">
        <v>242</v>
      </c>
      <c r="D37" s="531"/>
      <c r="E37">
        <f>SQRT(E36)</f>
        <v>3.3166247903553998</v>
      </c>
    </row>
    <row r="39" spans="2:13" ht="33.75">
      <c r="B39" s="76" t="s">
        <v>37</v>
      </c>
      <c r="C39" s="77" t="s">
        <v>235</v>
      </c>
      <c r="D39" s="78" t="s">
        <v>236</v>
      </c>
      <c r="E39" s="79" t="s">
        <v>237</v>
      </c>
      <c r="F39" s="80" t="s">
        <v>239</v>
      </c>
      <c r="G39" s="80" t="s">
        <v>240</v>
      </c>
      <c r="L39" s="15" t="s">
        <v>232</v>
      </c>
      <c r="M39" s="15">
        <v>2.5</v>
      </c>
    </row>
    <row r="40" spans="2:13">
      <c r="B40">
        <v>2</v>
      </c>
      <c r="C40">
        <f>$M$39*B40+$M$40</f>
        <v>82</v>
      </c>
      <c r="D40">
        <v>81</v>
      </c>
      <c r="E40">
        <f>D40-C40</f>
        <v>-1</v>
      </c>
      <c r="F40">
        <f>ABS(E40)</f>
        <v>1</v>
      </c>
      <c r="G40">
        <f>E40^2</f>
        <v>1</v>
      </c>
      <c r="L40" s="15" t="s">
        <v>233</v>
      </c>
      <c r="M40" s="15">
        <v>77</v>
      </c>
    </row>
    <row r="41" spans="2:13">
      <c r="B41">
        <v>4</v>
      </c>
      <c r="C41">
        <f>$M$39*B41+$M$40</f>
        <v>87</v>
      </c>
      <c r="D41">
        <v>93</v>
      </c>
      <c r="E41">
        <f>D41-C41</f>
        <v>6</v>
      </c>
      <c r="F41">
        <f>ABS(E41)</f>
        <v>6</v>
      </c>
      <c r="G41">
        <f>E41^2</f>
        <v>36</v>
      </c>
    </row>
    <row r="42" spans="2:13">
      <c r="B42">
        <v>6</v>
      </c>
      <c r="C42">
        <f>$M$39*B42+$M$40</f>
        <v>92</v>
      </c>
      <c r="D42">
        <v>91</v>
      </c>
      <c r="E42">
        <f>D42-C42</f>
        <v>-1</v>
      </c>
      <c r="F42">
        <f>ABS(E42)</f>
        <v>1</v>
      </c>
      <c r="G42">
        <f>E42^2</f>
        <v>1</v>
      </c>
    </row>
    <row r="43" spans="2:13">
      <c r="B43">
        <v>8</v>
      </c>
      <c r="C43">
        <f>$M$39*B43+$M$40</f>
        <v>97</v>
      </c>
      <c r="D43">
        <v>97</v>
      </c>
      <c r="E43">
        <f>D43-C43</f>
        <v>0</v>
      </c>
      <c r="F43">
        <f>ABS(E43)</f>
        <v>0</v>
      </c>
      <c r="G43">
        <f>E43^2</f>
        <v>0</v>
      </c>
    </row>
    <row r="45" spans="2:13">
      <c r="C45" s="517" t="s">
        <v>238</v>
      </c>
      <c r="D45" s="516"/>
      <c r="E45" s="33">
        <f>AVERAGE(F40:F43)</f>
        <v>2</v>
      </c>
    </row>
    <row r="47" spans="2:13">
      <c r="C47" s="516" t="s">
        <v>241</v>
      </c>
      <c r="D47" s="516"/>
      <c r="E47">
        <f>AVERAGE(G40:G43)</f>
        <v>9.5</v>
      </c>
    </row>
    <row r="48" spans="2:13">
      <c r="C48" s="531" t="s">
        <v>242</v>
      </c>
      <c r="D48" s="531"/>
      <c r="E48">
        <f>SQRT(E47)</f>
        <v>3.082207001484488</v>
      </c>
    </row>
    <row r="51" spans="3:3" s="1" customFormat="1">
      <c r="C51" s="1" t="s">
        <v>244</v>
      </c>
    </row>
  </sheetData>
  <mergeCells count="13">
    <mergeCell ref="C48:D48"/>
    <mergeCell ref="C18:D18"/>
    <mergeCell ref="C34:D34"/>
    <mergeCell ref="C36:D36"/>
    <mergeCell ref="C37:D37"/>
    <mergeCell ref="C45:D45"/>
    <mergeCell ref="C47:D47"/>
    <mergeCell ref="C17:D17"/>
    <mergeCell ref="L12:L13"/>
    <mergeCell ref="M12:N12"/>
    <mergeCell ref="M13:N13"/>
    <mergeCell ref="O12:O13"/>
    <mergeCell ref="C15:D15"/>
  </mergeCells>
  <phoneticPr fontId="5" type="noConversion"/>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M3:M5"/>
  <sheetViews>
    <sheetView showGridLines="0" zoomScaleNormal="100" workbookViewId="0">
      <selection activeCell="M7" sqref="M7"/>
    </sheetView>
  </sheetViews>
  <sheetFormatPr defaultRowHeight="16.5"/>
  <sheetData>
    <row r="3" spans="13:13">
      <c r="M3" s="322" t="s">
        <v>1659</v>
      </c>
    </row>
    <row r="5" spans="13:13">
      <c r="M5" s="322" t="s">
        <v>1660</v>
      </c>
    </row>
  </sheetData>
  <phoneticPr fontId="5" type="noConversion"/>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2:X140"/>
  <sheetViews>
    <sheetView topLeftCell="A58" zoomScale="130" zoomScaleNormal="130" workbookViewId="0">
      <selection activeCell="D148" sqref="D148"/>
    </sheetView>
  </sheetViews>
  <sheetFormatPr defaultRowHeight="16.5"/>
  <sheetData>
    <row r="2" spans="1:11" s="1" customFormat="1">
      <c r="B2" s="1" t="s">
        <v>530</v>
      </c>
    </row>
    <row r="3" spans="1:11">
      <c r="D3" t="s">
        <v>532</v>
      </c>
    </row>
    <row r="4" spans="1:11">
      <c r="B4" t="s">
        <v>531</v>
      </c>
      <c r="D4" t="s">
        <v>533</v>
      </c>
      <c r="H4" s="3" t="s">
        <v>539</v>
      </c>
    </row>
    <row r="5" spans="1:11">
      <c r="B5" t="s">
        <v>536</v>
      </c>
      <c r="F5" t="s">
        <v>538</v>
      </c>
    </row>
    <row r="6" spans="1:11">
      <c r="A6" s="162"/>
      <c r="B6" s="162"/>
      <c r="C6" s="162"/>
      <c r="D6" s="162"/>
      <c r="F6" s="154"/>
    </row>
    <row r="7" spans="1:11">
      <c r="A7" s="162"/>
      <c r="B7" s="162"/>
      <c r="C7" s="162"/>
      <c r="D7" s="162"/>
      <c r="F7" s="154"/>
    </row>
    <row r="8" spans="1:11">
      <c r="A8" s="162"/>
      <c r="B8" s="162"/>
      <c r="C8" s="162"/>
      <c r="D8" s="162"/>
      <c r="F8" s="154"/>
    </row>
    <row r="9" spans="1:11">
      <c r="A9" s="162"/>
      <c r="B9" s="162"/>
      <c r="C9" s="162"/>
      <c r="D9" s="162"/>
      <c r="F9" s="154"/>
    </row>
    <row r="10" spans="1:11">
      <c r="A10" s="162"/>
      <c r="B10" s="162"/>
      <c r="C10" s="162"/>
      <c r="D10" s="162"/>
      <c r="F10" s="154"/>
    </row>
    <row r="12" spans="1:11">
      <c r="J12" t="s">
        <v>544</v>
      </c>
    </row>
    <row r="13" spans="1:11">
      <c r="A13" s="163" t="s">
        <v>534</v>
      </c>
      <c r="I13" t="s">
        <v>540</v>
      </c>
      <c r="J13" t="s">
        <v>541</v>
      </c>
      <c r="K13" t="s">
        <v>542</v>
      </c>
    </row>
    <row r="14" spans="1:11" ht="17.25">
      <c r="A14" s="164"/>
      <c r="J14" s="165" t="s">
        <v>543</v>
      </c>
    </row>
    <row r="15" spans="1:11">
      <c r="A15" s="122" t="s">
        <v>535</v>
      </c>
    </row>
    <row r="16" spans="1:11">
      <c r="A16" s="122" t="s">
        <v>537</v>
      </c>
    </row>
    <row r="19" spans="2:24" s="1" customFormat="1">
      <c r="B19" s="1" t="s">
        <v>545</v>
      </c>
      <c r="D19" s="1" t="s">
        <v>546</v>
      </c>
      <c r="G19" s="1" t="s">
        <v>556</v>
      </c>
      <c r="X19" t="s">
        <v>557</v>
      </c>
    </row>
    <row r="21" spans="2:24">
      <c r="B21" t="s">
        <v>547</v>
      </c>
      <c r="N21" t="s">
        <v>548</v>
      </c>
      <c r="X21" t="s">
        <v>558</v>
      </c>
    </row>
    <row r="22" spans="2:24">
      <c r="Q22" t="s">
        <v>553</v>
      </c>
      <c r="X22" s="129"/>
    </row>
    <row r="23" spans="2:24">
      <c r="O23" t="s">
        <v>549</v>
      </c>
      <c r="P23">
        <f>3 / 8</f>
        <v>0.375</v>
      </c>
      <c r="Q23">
        <f>LOG(P23,2)</f>
        <v>-1.4150374992788437</v>
      </c>
      <c r="R23">
        <f>P23*Q23</f>
        <v>-0.53063906222956636</v>
      </c>
      <c r="X23" s="150" t="s">
        <v>559</v>
      </c>
    </row>
    <row r="24" spans="2:24">
      <c r="O24" t="s">
        <v>550</v>
      </c>
      <c r="P24">
        <f>1/8</f>
        <v>0.125</v>
      </c>
      <c r="Q24">
        <f>LOG(P24,2)</f>
        <v>-3</v>
      </c>
      <c r="R24">
        <f>P24*Q24</f>
        <v>-0.375</v>
      </c>
      <c r="X24" s="129"/>
    </row>
    <row r="25" spans="2:24">
      <c r="O25" t="s">
        <v>551</v>
      </c>
      <c r="P25">
        <f>3/8</f>
        <v>0.375</v>
      </c>
      <c r="Q25">
        <f>LOG(P25,2)</f>
        <v>-1.4150374992788437</v>
      </c>
      <c r="R25">
        <f>P25*Q25</f>
        <v>-0.53063906222956636</v>
      </c>
      <c r="X25" s="150" t="s">
        <v>560</v>
      </c>
    </row>
    <row r="26" spans="2:24">
      <c r="O26" t="s">
        <v>552</v>
      </c>
      <c r="P26">
        <f>1/8</f>
        <v>0.125</v>
      </c>
      <c r="Q26">
        <f>LOG(P26,2)</f>
        <v>-3</v>
      </c>
      <c r="R26">
        <f>P26*Q26</f>
        <v>-0.375</v>
      </c>
      <c r="X26" s="129"/>
    </row>
    <row r="27" spans="2:24">
      <c r="R27">
        <f>SUM(R23:R26)</f>
        <v>-1.8112781244591327</v>
      </c>
      <c r="S27" t="s">
        <v>554</v>
      </c>
      <c r="U27">
        <f>-(R27)</f>
        <v>1.8112781244591327</v>
      </c>
      <c r="X27" s="150" t="s">
        <v>561</v>
      </c>
    </row>
    <row r="29" spans="2:24">
      <c r="Q29" t="s">
        <v>555</v>
      </c>
      <c r="X29" t="s">
        <v>562</v>
      </c>
    </row>
    <row r="69" spans="1:16" s="1" customFormat="1">
      <c r="B69" s="168" t="s">
        <v>563</v>
      </c>
      <c r="C69" s="1" t="s">
        <v>564</v>
      </c>
      <c r="G69" s="1" t="s">
        <v>578</v>
      </c>
    </row>
    <row r="71" spans="1:16">
      <c r="D71" s="161"/>
      <c r="E71" t="s">
        <v>565</v>
      </c>
      <c r="K71" s="167" t="s">
        <v>575</v>
      </c>
      <c r="L71" s="90" t="s">
        <v>568</v>
      </c>
      <c r="N71" s="90">
        <f>1-((5/10)^2 + (5/10)^2)</f>
        <v>0.5</v>
      </c>
    </row>
    <row r="74" spans="1:16">
      <c r="A74" t="s">
        <v>566</v>
      </c>
      <c r="C74" s="166"/>
      <c r="E74" s="161"/>
      <c r="F74" t="s">
        <v>572</v>
      </c>
      <c r="K74" s="86" t="s">
        <v>569</v>
      </c>
      <c r="L74" t="s">
        <v>568</v>
      </c>
      <c r="N74" t="s">
        <v>571</v>
      </c>
      <c r="P74" t="s">
        <v>570</v>
      </c>
    </row>
    <row r="75" spans="1:16">
      <c r="N75">
        <f>1-((5/6)^2+(1/6)^2)</f>
        <v>0.27777777777777768</v>
      </c>
      <c r="P75">
        <f>1-((0/4)^2 + (4/4)^2)</f>
        <v>0</v>
      </c>
    </row>
    <row r="76" spans="1:16">
      <c r="M76" s="86" t="s">
        <v>573</v>
      </c>
      <c r="N76">
        <f>N75*0.6</f>
        <v>0.1666666666666666</v>
      </c>
      <c r="P76">
        <f>P75*0.4</f>
        <v>0</v>
      </c>
    </row>
    <row r="78" spans="1:16">
      <c r="B78" t="s">
        <v>565</v>
      </c>
      <c r="M78" s="90" t="s">
        <v>574</v>
      </c>
      <c r="N78" s="90"/>
      <c r="O78" s="90"/>
      <c r="P78" s="90">
        <f>N76+P76</f>
        <v>0.1666666666666666</v>
      </c>
    </row>
    <row r="81" spans="2:13">
      <c r="B81" t="s">
        <v>566</v>
      </c>
      <c r="K81" t="s">
        <v>576</v>
      </c>
    </row>
    <row r="82" spans="2:13">
      <c r="B82" t="s">
        <v>567</v>
      </c>
    </row>
    <row r="84" spans="2:13">
      <c r="K84" t="s">
        <v>577</v>
      </c>
      <c r="M84" s="90">
        <f>N71-P78</f>
        <v>0.33333333333333337</v>
      </c>
    </row>
    <row r="90" spans="2:13" s="1" customFormat="1">
      <c r="B90" s="1" t="s">
        <v>1688</v>
      </c>
    </row>
    <row r="93" spans="2:13" ht="21.75">
      <c r="B93" s="177" t="s">
        <v>1689</v>
      </c>
    </row>
    <row r="94" spans="2:13">
      <c r="B94" s="129"/>
    </row>
    <row r="95" spans="2:13">
      <c r="B95" s="150" t="s">
        <v>595</v>
      </c>
    </row>
    <row r="96" spans="2:13">
      <c r="B96" s="129"/>
    </row>
    <row r="97" spans="2:2">
      <c r="B97" s="129"/>
    </row>
    <row r="98" spans="2:2">
      <c r="B98" s="178" t="s">
        <v>1690</v>
      </c>
    </row>
    <row r="99" spans="2:2">
      <c r="B99" s="178" t="s">
        <v>1691</v>
      </c>
    </row>
    <row r="100" spans="2:2">
      <c r="B100" s="178" t="s">
        <v>1692</v>
      </c>
    </row>
    <row r="101" spans="2:2">
      <c r="B101" s="129"/>
    </row>
    <row r="102" spans="2:2">
      <c r="B102" s="150" t="s">
        <v>597</v>
      </c>
    </row>
    <row r="103" spans="2:2">
      <c r="B103" s="129"/>
    </row>
    <row r="104" spans="2:2">
      <c r="B104" s="129"/>
    </row>
    <row r="105" spans="2:2">
      <c r="B105" s="178" t="s">
        <v>1693</v>
      </c>
    </row>
    <row r="106" spans="2:2">
      <c r="B106" s="178" t="s">
        <v>1694</v>
      </c>
    </row>
    <row r="108" spans="2:2" ht="21.75">
      <c r="B108" s="177" t="s">
        <v>1695</v>
      </c>
    </row>
    <row r="109" spans="2:2">
      <c r="B109" s="129"/>
    </row>
    <row r="110" spans="2:2">
      <c r="B110" s="150" t="s">
        <v>595</v>
      </c>
    </row>
    <row r="111" spans="2:2">
      <c r="B111" s="129"/>
    </row>
    <row r="112" spans="2:2">
      <c r="B112" s="129"/>
    </row>
    <row r="113" spans="2:2">
      <c r="B113" s="178" t="s">
        <v>1696</v>
      </c>
    </row>
    <row r="114" spans="2:2">
      <c r="B114" s="178" t="s">
        <v>1697</v>
      </c>
    </row>
    <row r="115" spans="2:2">
      <c r="B115" s="178" t="s">
        <v>1698</v>
      </c>
    </row>
    <row r="116" spans="2:2">
      <c r="B116" s="129"/>
    </row>
    <row r="117" spans="2:2">
      <c r="B117" s="150" t="s">
        <v>597</v>
      </c>
    </row>
    <row r="118" spans="2:2">
      <c r="B118" s="129"/>
    </row>
    <row r="119" spans="2:2">
      <c r="B119" s="129"/>
    </row>
    <row r="120" spans="2:2">
      <c r="B120" s="178" t="s">
        <v>1699</v>
      </c>
    </row>
    <row r="121" spans="2:2">
      <c r="B121" s="178" t="s">
        <v>1700</v>
      </c>
    </row>
    <row r="123" spans="2:2" ht="21.75">
      <c r="B123" s="177" t="s">
        <v>1684</v>
      </c>
    </row>
    <row r="125" spans="2:2">
      <c r="B125" t="s">
        <v>1701</v>
      </c>
    </row>
    <row r="129" spans="2:15" s="1" customFormat="1">
      <c r="B129" s="1" t="s">
        <v>1702</v>
      </c>
    </row>
    <row r="132" spans="2:15">
      <c r="C132" s="90" t="s">
        <v>1703</v>
      </c>
    </row>
    <row r="133" spans="2:15">
      <c r="C133" s="129"/>
    </row>
    <row r="134" spans="2:15">
      <c r="C134" s="325" t="s">
        <v>1704</v>
      </c>
      <c r="O134" t="s">
        <v>1710</v>
      </c>
    </row>
    <row r="135" spans="2:15">
      <c r="C135" s="129" t="s">
        <v>1705</v>
      </c>
    </row>
    <row r="137" spans="2:15">
      <c r="C137" s="90" t="s">
        <v>1706</v>
      </c>
    </row>
    <row r="138" spans="2:15">
      <c r="C138" s="129"/>
    </row>
    <row r="139" spans="2:15">
      <c r="C139" s="325" t="s">
        <v>1707</v>
      </c>
      <c r="O139" t="s">
        <v>1709</v>
      </c>
    </row>
    <row r="140" spans="2:15">
      <c r="C140" s="129" t="s">
        <v>1708</v>
      </c>
    </row>
  </sheetData>
  <phoneticPr fontId="5" type="noConversion"/>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B1:H54"/>
  <sheetViews>
    <sheetView topLeftCell="A43" zoomScale="145" zoomScaleNormal="145" workbookViewId="0">
      <selection activeCell="F55" sqref="F55"/>
    </sheetView>
  </sheetViews>
  <sheetFormatPr defaultRowHeight="16.5"/>
  <cols>
    <col min="6" max="6" width="17.625" bestFit="1" customWidth="1"/>
  </cols>
  <sheetData>
    <row r="1" spans="2:5">
      <c r="D1" t="s">
        <v>505</v>
      </c>
    </row>
    <row r="2" spans="2:5" s="1" customFormat="1">
      <c r="B2" s="1" t="s">
        <v>502</v>
      </c>
      <c r="D2" s="1" t="s">
        <v>506</v>
      </c>
    </row>
    <row r="3" spans="2:5">
      <c r="B3" t="s">
        <v>515</v>
      </c>
      <c r="E3" s="160" t="s">
        <v>516</v>
      </c>
    </row>
    <row r="41" spans="2:7" s="1" customFormat="1">
      <c r="B41" s="1" t="s">
        <v>503</v>
      </c>
      <c r="D41" s="1" t="s">
        <v>504</v>
      </c>
    </row>
    <row r="42" spans="2:7">
      <c r="C42" s="1" t="s">
        <v>507</v>
      </c>
    </row>
    <row r="43" spans="2:7">
      <c r="E43" s="160" t="s">
        <v>514</v>
      </c>
    </row>
    <row r="45" spans="2:7">
      <c r="B45" s="156" t="s">
        <v>508</v>
      </c>
      <c r="C45" s="156" t="s">
        <v>510</v>
      </c>
      <c r="D45" s="156" t="s">
        <v>511</v>
      </c>
      <c r="F45" s="156" t="s">
        <v>517</v>
      </c>
    </row>
    <row r="46" spans="2:7">
      <c r="B46" s="156" t="s">
        <v>509</v>
      </c>
      <c r="C46" s="156" t="s">
        <v>512</v>
      </c>
      <c r="D46" s="156" t="s">
        <v>513</v>
      </c>
    </row>
    <row r="47" spans="2:7">
      <c r="F47" t="s">
        <v>518</v>
      </c>
      <c r="G47" t="s">
        <v>519</v>
      </c>
    </row>
    <row r="48" spans="2:7">
      <c r="F48" t="s">
        <v>520</v>
      </c>
      <c r="G48" t="s">
        <v>521</v>
      </c>
    </row>
    <row r="49" spans="6:8">
      <c r="F49" t="s">
        <v>522</v>
      </c>
      <c r="G49" t="s">
        <v>521</v>
      </c>
      <c r="H49" t="s">
        <v>523</v>
      </c>
    </row>
    <row r="50" spans="6:8">
      <c r="H50" t="s">
        <v>524</v>
      </c>
    </row>
    <row r="51" spans="6:8">
      <c r="H51" t="s">
        <v>525</v>
      </c>
    </row>
    <row r="52" spans="6:8">
      <c r="F52" t="s">
        <v>526</v>
      </c>
      <c r="G52" t="s">
        <v>527</v>
      </c>
    </row>
    <row r="54" spans="6:8">
      <c r="F54" t="s">
        <v>528</v>
      </c>
      <c r="G54" t="s">
        <v>529</v>
      </c>
    </row>
  </sheetData>
  <phoneticPr fontId="5" type="noConversion"/>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
  <sheetViews>
    <sheetView topLeftCell="A10" zoomScale="145" zoomScaleNormal="145" workbookViewId="0">
      <selection activeCell="A22" sqref="A20:XFD22"/>
    </sheetView>
  </sheetViews>
  <sheetFormatPr defaultRowHeight="16.5"/>
  <sheetData/>
  <phoneticPr fontId="5" type="noConversion"/>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V42"/>
  <sheetViews>
    <sheetView showGridLines="0" topLeftCell="G4" zoomScale="115" zoomScaleNormal="115" workbookViewId="0">
      <selection activeCell="M16" sqref="M16"/>
    </sheetView>
  </sheetViews>
  <sheetFormatPr defaultRowHeight="16.5"/>
  <sheetData>
    <row r="1" spans="1:22">
      <c r="J1" t="s">
        <v>263</v>
      </c>
      <c r="K1" t="s">
        <v>272</v>
      </c>
    </row>
    <row r="2" spans="1:22">
      <c r="I2" s="88" t="s">
        <v>262</v>
      </c>
      <c r="J2" s="88">
        <v>-0.5</v>
      </c>
      <c r="K2" s="89">
        <v>0.5</v>
      </c>
      <c r="R2" t="s">
        <v>269</v>
      </c>
      <c r="U2" t="s">
        <v>267</v>
      </c>
    </row>
    <row r="3" spans="1:22">
      <c r="I3" s="88" t="s">
        <v>260</v>
      </c>
      <c r="J3" s="88">
        <v>1</v>
      </c>
      <c r="K3" s="89">
        <v>-0.5</v>
      </c>
      <c r="P3" s="69" t="s">
        <v>257</v>
      </c>
      <c r="Q3" s="69" t="s">
        <v>246</v>
      </c>
      <c r="R3" t="s">
        <v>254</v>
      </c>
      <c r="S3" t="s">
        <v>270</v>
      </c>
      <c r="U3" s="73" t="s">
        <v>37</v>
      </c>
      <c r="V3" s="73" t="s">
        <v>268</v>
      </c>
    </row>
    <row r="4" spans="1:22">
      <c r="I4" s="88" t="s">
        <v>261</v>
      </c>
      <c r="J4" s="88">
        <v>1</v>
      </c>
      <c r="K4" s="89">
        <v>-0.1</v>
      </c>
      <c r="P4" s="69">
        <v>0</v>
      </c>
      <c r="Q4" s="69">
        <v>0</v>
      </c>
      <c r="R4" s="73">
        <v>0</v>
      </c>
      <c r="S4">
        <v>0</v>
      </c>
      <c r="U4">
        <v>-5</v>
      </c>
      <c r="V4">
        <f>IF(U4&gt;=0,1,-1)</f>
        <v>-1</v>
      </c>
    </row>
    <row r="5" spans="1:22">
      <c r="P5" s="69">
        <v>0</v>
      </c>
      <c r="Q5" s="69">
        <v>1</v>
      </c>
      <c r="R5" s="73">
        <v>1</v>
      </c>
      <c r="S5">
        <v>0</v>
      </c>
      <c r="U5">
        <v>-4</v>
      </c>
      <c r="V5">
        <f t="shared" ref="V5:V14" si="0">IF(U5&gt;=0,1,-1)</f>
        <v>-1</v>
      </c>
    </row>
    <row r="6" spans="1:22">
      <c r="B6" s="69"/>
      <c r="C6" s="69"/>
      <c r="D6" s="69"/>
      <c r="P6" s="69">
        <v>1</v>
      </c>
      <c r="Q6" s="69">
        <v>0</v>
      </c>
      <c r="R6" s="73">
        <v>1</v>
      </c>
      <c r="S6">
        <v>0</v>
      </c>
      <c r="U6">
        <v>-3</v>
      </c>
      <c r="V6">
        <f t="shared" si="0"/>
        <v>-1</v>
      </c>
    </row>
    <row r="7" spans="1:22">
      <c r="B7" s="69"/>
      <c r="C7" s="69"/>
      <c r="D7" s="69"/>
      <c r="P7" s="69">
        <v>1</v>
      </c>
      <c r="Q7" s="69">
        <v>1</v>
      </c>
      <c r="R7" s="73">
        <v>1</v>
      </c>
      <c r="S7">
        <v>1</v>
      </c>
      <c r="U7">
        <v>-2</v>
      </c>
      <c r="V7">
        <f t="shared" si="0"/>
        <v>-1</v>
      </c>
    </row>
    <row r="8" spans="1:22">
      <c r="B8" s="69"/>
      <c r="C8" s="69"/>
      <c r="D8" s="69"/>
      <c r="H8" s="516" t="s">
        <v>252</v>
      </c>
      <c r="I8" s="516"/>
      <c r="L8" s="516" t="s">
        <v>253</v>
      </c>
      <c r="M8" s="516"/>
      <c r="U8">
        <v>-1</v>
      </c>
      <c r="V8">
        <f t="shared" si="0"/>
        <v>-1</v>
      </c>
    </row>
    <row r="9" spans="1:22">
      <c r="B9" s="69"/>
      <c r="C9" s="69"/>
      <c r="D9" s="69"/>
      <c r="U9">
        <v>0</v>
      </c>
      <c r="V9">
        <v>1</v>
      </c>
    </row>
    <row r="10" spans="1:22">
      <c r="B10" s="69"/>
      <c r="C10" s="69"/>
      <c r="D10" s="69"/>
      <c r="Q10" t="s">
        <v>266</v>
      </c>
      <c r="U10">
        <v>1</v>
      </c>
      <c r="V10">
        <f t="shared" si="0"/>
        <v>1</v>
      </c>
    </row>
    <row r="11" spans="1:22">
      <c r="I11" s="62">
        <v>1</v>
      </c>
      <c r="J11" s="73" t="s">
        <v>259</v>
      </c>
      <c r="Q11" t="s">
        <v>265</v>
      </c>
      <c r="U11">
        <v>2</v>
      </c>
      <c r="V11">
        <f t="shared" si="0"/>
        <v>1</v>
      </c>
    </row>
    <row r="12" spans="1:22">
      <c r="P12">
        <f>B14*$J$2+C14*$J$3+D14*$J$4</f>
        <v>-0.5</v>
      </c>
      <c r="Q12">
        <f>IF(P12&gt;=0, 1, -1)</f>
        <v>-1</v>
      </c>
      <c r="U12">
        <v>3</v>
      </c>
      <c r="V12">
        <f t="shared" si="0"/>
        <v>1</v>
      </c>
    </row>
    <row r="13" spans="1:22">
      <c r="B13" s="69" t="s">
        <v>245</v>
      </c>
      <c r="C13" s="69" t="s">
        <v>246</v>
      </c>
      <c r="D13" s="69" t="s">
        <v>247</v>
      </c>
      <c r="F13" s="69" t="s">
        <v>256</v>
      </c>
      <c r="G13" s="69">
        <v>1</v>
      </c>
      <c r="H13" s="69"/>
      <c r="I13" s="69"/>
      <c r="J13" s="69"/>
      <c r="M13">
        <v>0</v>
      </c>
      <c r="P13">
        <f>B15*$J$2+C15*$J$3+D15*$J$4</f>
        <v>0.5</v>
      </c>
      <c r="Q13">
        <f>IF(P13&gt;=0, 1, -1)</f>
        <v>1</v>
      </c>
      <c r="U13">
        <v>4</v>
      </c>
      <c r="V13">
        <f t="shared" si="0"/>
        <v>1</v>
      </c>
    </row>
    <row r="14" spans="1:22">
      <c r="A14" t="s">
        <v>248</v>
      </c>
      <c r="B14" s="87">
        <v>1</v>
      </c>
      <c r="C14" s="87">
        <v>0</v>
      </c>
      <c r="D14" s="87">
        <v>0</v>
      </c>
      <c r="F14" s="69" t="s">
        <v>257</v>
      </c>
      <c r="G14" s="69">
        <v>0</v>
      </c>
      <c r="H14" s="69"/>
      <c r="I14" s="85">
        <v>0</v>
      </c>
      <c r="J14" s="69" t="s">
        <v>260</v>
      </c>
      <c r="P14">
        <f>B16*$J$2+C16*$J$3+D16*$J$4</f>
        <v>0.5</v>
      </c>
      <c r="Q14">
        <f>IF(P14&gt;=0, 1, -1)</f>
        <v>1</v>
      </c>
      <c r="U14">
        <v>5</v>
      </c>
      <c r="V14">
        <f t="shared" si="0"/>
        <v>1</v>
      </c>
    </row>
    <row r="15" spans="1:22">
      <c r="A15" t="s">
        <v>249</v>
      </c>
      <c r="B15" s="69">
        <v>1</v>
      </c>
      <c r="C15" s="69">
        <v>0</v>
      </c>
      <c r="D15" s="69">
        <v>1</v>
      </c>
      <c r="F15" s="69" t="s">
        <v>258</v>
      </c>
      <c r="G15" s="69">
        <v>0</v>
      </c>
      <c r="H15" s="69"/>
      <c r="I15" s="69"/>
      <c r="J15" s="69"/>
      <c r="P15">
        <f>B17*$J$2+C17*$J$3+D17*$J$4</f>
        <v>1.5</v>
      </c>
      <c r="Q15">
        <f>IF(P15&gt;=0, 1, -1)</f>
        <v>1</v>
      </c>
    </row>
    <row r="16" spans="1:22">
      <c r="A16" t="s">
        <v>250</v>
      </c>
      <c r="B16" s="69">
        <v>1</v>
      </c>
      <c r="C16" s="69">
        <v>1</v>
      </c>
      <c r="D16" s="69">
        <v>0</v>
      </c>
      <c r="M16" t="s">
        <v>264</v>
      </c>
    </row>
    <row r="17" spans="1:17">
      <c r="A17" t="s">
        <v>251</v>
      </c>
      <c r="B17" s="69">
        <v>1</v>
      </c>
      <c r="C17" s="69">
        <v>1</v>
      </c>
      <c r="D17" s="69">
        <v>1</v>
      </c>
      <c r="I17" s="62">
        <v>0</v>
      </c>
      <c r="J17" s="73" t="s">
        <v>261</v>
      </c>
      <c r="Q17" t="s">
        <v>271</v>
      </c>
    </row>
    <row r="34" spans="16:18">
      <c r="Q34" t="s">
        <v>266</v>
      </c>
    </row>
    <row r="35" spans="16:18">
      <c r="Q35" t="s">
        <v>265</v>
      </c>
    </row>
    <row r="36" spans="16:18">
      <c r="P36">
        <f>B14*$K$2+C14*$K$3+D14*$K$4</f>
        <v>0.5</v>
      </c>
      <c r="Q36">
        <f>IF(P36&gt;=0, 1, -1)</f>
        <v>1</v>
      </c>
    </row>
    <row r="37" spans="16:18">
      <c r="P37">
        <f>B15*$K$2+C15*$K$3+D15*$K$4</f>
        <v>0.4</v>
      </c>
      <c r="Q37">
        <f>IF(P37&gt;=0, 1, -1)</f>
        <v>1</v>
      </c>
    </row>
    <row r="38" spans="16:18">
      <c r="P38">
        <f>B16*$K$2+C16*$K$3+D16*$K$4</f>
        <v>0</v>
      </c>
      <c r="Q38">
        <f>IF(P38&gt;=0, 1, -1)</f>
        <v>1</v>
      </c>
    </row>
    <row r="39" spans="16:18">
      <c r="P39">
        <f>B17*$K$2+C17*$K$3+D17*$K$4</f>
        <v>-0.1</v>
      </c>
      <c r="Q39">
        <f>IF(P39&gt;=0, 1, -1)</f>
        <v>-1</v>
      </c>
    </row>
    <row r="41" spans="16:18">
      <c r="Q41" s="516" t="s">
        <v>273</v>
      </c>
      <c r="R41" s="516"/>
    </row>
    <row r="42" spans="16:18">
      <c r="P42" s="90"/>
    </row>
  </sheetData>
  <mergeCells count="3">
    <mergeCell ref="H8:I8"/>
    <mergeCell ref="L8:M8"/>
    <mergeCell ref="Q41:R41"/>
  </mergeCells>
  <phoneticPr fontId="5"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W46"/>
  <sheetViews>
    <sheetView showGridLines="0" zoomScale="55" zoomScaleNormal="55" workbookViewId="0">
      <selection activeCell="K19" sqref="K19"/>
    </sheetView>
  </sheetViews>
  <sheetFormatPr defaultRowHeight="16.5"/>
  <sheetData>
    <row r="1" spans="1:23">
      <c r="I1" s="73"/>
      <c r="J1" s="92" t="s">
        <v>279</v>
      </c>
      <c r="K1" s="93"/>
    </row>
    <row r="2" spans="1:23">
      <c r="I2" s="88" t="s">
        <v>262</v>
      </c>
      <c r="J2" s="88">
        <v>-2</v>
      </c>
      <c r="K2" s="94"/>
      <c r="R2" t="s">
        <v>269</v>
      </c>
    </row>
    <row r="3" spans="1:23">
      <c r="I3" s="88" t="s">
        <v>260</v>
      </c>
      <c r="J3" s="97">
        <v>2</v>
      </c>
      <c r="K3" s="94"/>
      <c r="L3" s="88" t="s">
        <v>324</v>
      </c>
      <c r="M3" s="98">
        <v>1</v>
      </c>
      <c r="P3" s="69" t="s">
        <v>257</v>
      </c>
      <c r="Q3" s="69" t="s">
        <v>246</v>
      </c>
      <c r="R3" t="s">
        <v>254</v>
      </c>
      <c r="S3" t="s">
        <v>270</v>
      </c>
      <c r="T3" s="116" t="s">
        <v>328</v>
      </c>
      <c r="U3" s="117" t="s">
        <v>254</v>
      </c>
      <c r="V3" s="120" t="s">
        <v>329</v>
      </c>
    </row>
    <row r="4" spans="1:23">
      <c r="I4" s="88" t="s">
        <v>261</v>
      </c>
      <c r="J4" s="98">
        <v>-2</v>
      </c>
      <c r="K4" s="94"/>
      <c r="L4" s="88" t="s">
        <v>325</v>
      </c>
      <c r="M4" s="98">
        <v>1</v>
      </c>
      <c r="P4" s="69">
        <v>0</v>
      </c>
      <c r="Q4" s="69">
        <v>0</v>
      </c>
      <c r="R4" s="73">
        <v>0</v>
      </c>
      <c r="S4">
        <v>0</v>
      </c>
      <c r="T4" s="116">
        <v>1</v>
      </c>
      <c r="U4" s="116">
        <v>0</v>
      </c>
      <c r="V4" s="120">
        <v>0</v>
      </c>
    </row>
    <row r="5" spans="1:23">
      <c r="I5" s="88" t="s">
        <v>255</v>
      </c>
      <c r="J5" s="98">
        <v>2</v>
      </c>
      <c r="K5" s="12"/>
      <c r="P5" s="69">
        <v>0</v>
      </c>
      <c r="Q5" s="69">
        <v>1</v>
      </c>
      <c r="R5" s="73">
        <v>1</v>
      </c>
      <c r="S5">
        <v>0</v>
      </c>
      <c r="T5" s="116">
        <v>1</v>
      </c>
      <c r="U5" s="116">
        <v>1</v>
      </c>
      <c r="V5" s="120">
        <v>1</v>
      </c>
    </row>
    <row r="6" spans="1:23" ht="17.25" thickBot="1">
      <c r="B6" s="69"/>
      <c r="C6" s="69"/>
      <c r="D6" s="69"/>
      <c r="P6" s="69">
        <v>1</v>
      </c>
      <c r="Q6" s="69">
        <v>0</v>
      </c>
      <c r="R6" s="73">
        <v>1</v>
      </c>
      <c r="S6">
        <v>0</v>
      </c>
      <c r="T6" s="116">
        <v>1</v>
      </c>
      <c r="U6" s="116">
        <v>1</v>
      </c>
      <c r="V6" s="120">
        <v>1</v>
      </c>
    </row>
    <row r="7" spans="1:23" ht="17.25" thickBot="1">
      <c r="B7" s="69"/>
      <c r="C7" s="69"/>
      <c r="D7" s="69"/>
      <c r="J7" s="95" t="s">
        <v>280</v>
      </c>
      <c r="L7" s="95" t="s">
        <v>323</v>
      </c>
      <c r="P7" s="69">
        <v>1</v>
      </c>
      <c r="Q7" s="69">
        <v>1</v>
      </c>
      <c r="R7" s="73">
        <v>1</v>
      </c>
      <c r="S7">
        <v>1</v>
      </c>
      <c r="T7" s="116">
        <v>0</v>
      </c>
      <c r="U7" s="116">
        <v>1</v>
      </c>
      <c r="V7" s="120">
        <v>0</v>
      </c>
    </row>
    <row r="8" spans="1:23" ht="17.25" thickBot="1">
      <c r="B8" s="69"/>
      <c r="C8" s="69"/>
      <c r="D8" s="69"/>
      <c r="H8" s="516" t="s">
        <v>252</v>
      </c>
      <c r="I8" s="516"/>
      <c r="J8" s="96">
        <v>3</v>
      </c>
      <c r="L8" s="115">
        <v>-1</v>
      </c>
    </row>
    <row r="9" spans="1:23" ht="17.25" thickBot="1">
      <c r="B9" s="69"/>
      <c r="C9" s="69"/>
      <c r="D9" s="69"/>
      <c r="J9" s="96">
        <v>-1</v>
      </c>
      <c r="L9" s="21"/>
    </row>
    <row r="10" spans="1:23">
      <c r="B10" s="69"/>
      <c r="C10" s="69"/>
      <c r="D10" s="69"/>
    </row>
    <row r="11" spans="1:23">
      <c r="I11" s="62"/>
      <c r="J11" s="73"/>
      <c r="P11" s="86" t="s">
        <v>278</v>
      </c>
      <c r="Q11" t="s">
        <v>275</v>
      </c>
    </row>
    <row r="12" spans="1:23">
      <c r="J12" s="533" t="s">
        <v>326</v>
      </c>
      <c r="K12" s="533"/>
      <c r="P12">
        <f>$J$8+C14*$J$2+D14*$J$4</f>
        <v>3</v>
      </c>
      <c r="Q12" s="99">
        <f xml:space="preserve"> 1 / ( 1+ EXP(-P12))</f>
        <v>0.95257412682243336</v>
      </c>
      <c r="R12">
        <f>IF(Q12&gt;=0.5, 1, 0)</f>
        <v>1</v>
      </c>
    </row>
    <row r="13" spans="1:23">
      <c r="B13" s="69"/>
      <c r="C13" s="69" t="s">
        <v>246</v>
      </c>
      <c r="D13" s="69" t="s">
        <v>247</v>
      </c>
      <c r="F13" s="69"/>
      <c r="G13" s="69"/>
      <c r="H13" s="69"/>
      <c r="I13" s="518"/>
      <c r="J13" s="518"/>
      <c r="N13" s="532" t="s">
        <v>253</v>
      </c>
      <c r="O13" s="532"/>
      <c r="P13">
        <f>$J$8+C15*$J$2+D15*$J$4</f>
        <v>1</v>
      </c>
      <c r="Q13" s="99">
        <f xml:space="preserve"> 1 / ( 1+ EXP(-P13))</f>
        <v>0.7310585786300049</v>
      </c>
      <c r="R13">
        <f>IF(Q13&gt;=0.5, 1, 0)</f>
        <v>1</v>
      </c>
    </row>
    <row r="14" spans="1:23" ht="17.25" thickBot="1">
      <c r="A14" t="s">
        <v>248</v>
      </c>
      <c r="B14" s="91"/>
      <c r="C14" s="87">
        <v>0</v>
      </c>
      <c r="D14" s="87">
        <v>0</v>
      </c>
      <c r="F14" s="69"/>
      <c r="G14" s="69"/>
      <c r="H14" s="69"/>
      <c r="I14" s="85">
        <v>0</v>
      </c>
      <c r="J14" s="69"/>
      <c r="K14" t="s">
        <v>276</v>
      </c>
      <c r="P14">
        <f>$J$8+C16*$J$2+D16*$J$4</f>
        <v>1</v>
      </c>
      <c r="Q14" s="99">
        <f xml:space="preserve"> 1 / ( 1+ EXP(-P14))</f>
        <v>0.7310585786300049</v>
      </c>
      <c r="R14">
        <f>IF(Q14&gt;=0.5, 1, 0)</f>
        <v>1</v>
      </c>
    </row>
    <row r="15" spans="1:23" ht="17.25" thickBot="1">
      <c r="A15" t="s">
        <v>249</v>
      </c>
      <c r="B15" s="69"/>
      <c r="C15" s="69">
        <v>0</v>
      </c>
      <c r="D15" s="69">
        <v>1</v>
      </c>
      <c r="F15" s="69"/>
      <c r="G15" s="69"/>
      <c r="H15" s="69"/>
      <c r="I15" s="69"/>
      <c r="J15" s="69"/>
      <c r="P15">
        <f>$J$8+C17*$J$2+D17*$J$4</f>
        <v>-1</v>
      </c>
      <c r="Q15" s="99">
        <f xml:space="preserve"> 1 / ( 1+ EXP(-P15))</f>
        <v>0.2689414213699951</v>
      </c>
      <c r="R15">
        <f>IF(Q15&gt;=0.5, 1, 0)</f>
        <v>0</v>
      </c>
      <c r="U15" s="73" t="s">
        <v>266</v>
      </c>
      <c r="W15" s="7" t="s">
        <v>327</v>
      </c>
    </row>
    <row r="16" spans="1:23" ht="17.25" thickBot="1">
      <c r="A16" t="s">
        <v>250</v>
      </c>
      <c r="B16" s="69"/>
      <c r="C16" s="69">
        <v>1</v>
      </c>
      <c r="D16" s="69">
        <v>0</v>
      </c>
      <c r="M16" t="s">
        <v>274</v>
      </c>
      <c r="U16">
        <f>$L$8+R12*$M$3+R19*$M$4</f>
        <v>0</v>
      </c>
      <c r="W16" s="9">
        <v>0</v>
      </c>
    </row>
    <row r="17" spans="1:23" ht="17.25" thickBot="1">
      <c r="A17" t="s">
        <v>251</v>
      </c>
      <c r="B17" s="69"/>
      <c r="C17" s="69">
        <v>1</v>
      </c>
      <c r="D17" s="69">
        <v>1</v>
      </c>
      <c r="I17" s="62">
        <v>0</v>
      </c>
      <c r="J17" s="73"/>
      <c r="K17" t="s">
        <v>277</v>
      </c>
      <c r="U17">
        <f>$L$8+R13*$M$3+R20*$M$4</f>
        <v>1</v>
      </c>
      <c r="W17" s="9">
        <v>1</v>
      </c>
    </row>
    <row r="18" spans="1:23" ht="17.25" thickBot="1">
      <c r="P18" s="86" t="s">
        <v>322</v>
      </c>
      <c r="Q18" t="s">
        <v>275</v>
      </c>
      <c r="U18">
        <f>$L$8+R14*$M$3+R21*$M$4</f>
        <v>1</v>
      </c>
      <c r="W18" s="9">
        <v>1</v>
      </c>
    </row>
    <row r="19" spans="1:23" ht="17.25" thickBot="1">
      <c r="K19" t="s">
        <v>274</v>
      </c>
      <c r="P19">
        <f>$J$9+C14*$J$3+D14*$J$5</f>
        <v>-1</v>
      </c>
      <c r="Q19" s="99">
        <f xml:space="preserve"> 1 / (1 +EXP(-P19))</f>
        <v>0.2689414213699951</v>
      </c>
      <c r="R19">
        <f>IF(Q19&gt;=0.5, 1, 0)</f>
        <v>0</v>
      </c>
      <c r="U19">
        <f>$L$8+R15*$M$3+R22*$M$4</f>
        <v>0</v>
      </c>
      <c r="W19" s="9">
        <v>0</v>
      </c>
    </row>
    <row r="20" spans="1:23">
      <c r="B20" s="69"/>
      <c r="C20" s="69"/>
      <c r="D20" s="69"/>
      <c r="P20">
        <f>$J$9+C15*$J$3+D15*$J$5</f>
        <v>1</v>
      </c>
      <c r="Q20" s="99">
        <f xml:space="preserve"> 1 / (1 +EXP(-P20))</f>
        <v>0.7310585786300049</v>
      </c>
      <c r="R20">
        <f>IF(Q20&gt;=0.5, 1, 0)</f>
        <v>1</v>
      </c>
    </row>
    <row r="21" spans="1:23">
      <c r="B21" s="91"/>
      <c r="C21" s="91"/>
      <c r="D21" s="91"/>
      <c r="P21">
        <f>$J$9+C16*$J$3+D16*$J$5</f>
        <v>1</v>
      </c>
      <c r="Q21" s="99">
        <f xml:space="preserve"> 1 / (1 +EXP(-P21))</f>
        <v>0.7310585786300049</v>
      </c>
      <c r="R21">
        <f>IF(Q21&gt;=0.5, 1, 0)</f>
        <v>1</v>
      </c>
    </row>
    <row r="22" spans="1:23">
      <c r="B22" s="69"/>
      <c r="C22" s="69"/>
      <c r="D22" s="69"/>
      <c r="P22">
        <f>$J$9+C17*$J$3+D17*$J$5</f>
        <v>3</v>
      </c>
      <c r="Q22" s="99">
        <f xml:space="preserve"> 1 / (1 +EXP(-P22))</f>
        <v>0.95257412682243336</v>
      </c>
      <c r="R22">
        <f>IF(Q22&gt;=0.5, 1, 0)</f>
        <v>1</v>
      </c>
    </row>
    <row r="23" spans="1:23">
      <c r="B23" s="69"/>
      <c r="C23" s="69"/>
      <c r="D23" s="69"/>
    </row>
    <row r="24" spans="1:23">
      <c r="B24" s="69"/>
      <c r="C24" s="69"/>
      <c r="D24" s="69"/>
    </row>
    <row r="25" spans="1:23" s="1" customFormat="1">
      <c r="H25" s="1" t="s">
        <v>2416</v>
      </c>
      <c r="K25" s="1" t="s">
        <v>2418</v>
      </c>
    </row>
    <row r="26" spans="1:23">
      <c r="J26" s="445" t="s">
        <v>2595</v>
      </c>
    </row>
    <row r="27" spans="1:23">
      <c r="L27" t="s">
        <v>2417</v>
      </c>
      <c r="S27" t="s">
        <v>2445</v>
      </c>
    </row>
    <row r="28" spans="1:23">
      <c r="S28" t="s">
        <v>2449</v>
      </c>
    </row>
    <row r="29" spans="1:23">
      <c r="L29" s="1"/>
    </row>
    <row r="30" spans="1:23">
      <c r="J30" s="158" t="s">
        <v>2426</v>
      </c>
      <c r="L30" s="1"/>
      <c r="M30" t="s">
        <v>2594</v>
      </c>
      <c r="P30" t="s">
        <v>2423</v>
      </c>
      <c r="Q30">
        <v>1E-3</v>
      </c>
      <c r="S30" s="423" t="s">
        <v>2424</v>
      </c>
      <c r="W30" s="3" t="s">
        <v>2427</v>
      </c>
    </row>
    <row r="31" spans="1:23">
      <c r="F31" t="s">
        <v>2425</v>
      </c>
      <c r="L31" s="1"/>
      <c r="W31" s="158" t="s">
        <v>2428</v>
      </c>
    </row>
    <row r="32" spans="1:23">
      <c r="F32" t="s">
        <v>2444</v>
      </c>
      <c r="L32" s="1"/>
      <c r="N32" s="1"/>
      <c r="P32" t="s">
        <v>2598</v>
      </c>
    </row>
    <row r="33" spans="7:23">
      <c r="G33" s="516" t="s">
        <v>2419</v>
      </c>
      <c r="H33" s="516"/>
      <c r="I33" s="86" t="s">
        <v>2420</v>
      </c>
      <c r="L33" s="1"/>
      <c r="N33" s="1"/>
      <c r="R33" t="s">
        <v>2422</v>
      </c>
      <c r="W33" t="s">
        <v>2430</v>
      </c>
    </row>
    <row r="34" spans="7:23">
      <c r="L34" s="1"/>
      <c r="N34" s="1"/>
      <c r="W34" s="4" t="s">
        <v>2429</v>
      </c>
    </row>
    <row r="35" spans="7:23">
      <c r="G35" s="30"/>
      <c r="H35" s="30"/>
      <c r="I35" s="117"/>
      <c r="L35" s="1"/>
      <c r="N35" s="1"/>
      <c r="R35" s="161"/>
    </row>
    <row r="36" spans="7:23">
      <c r="G36" s="30"/>
      <c r="H36" s="30"/>
      <c r="I36" s="117"/>
      <c r="L36" s="1"/>
      <c r="N36" s="1"/>
      <c r="R36" s="161"/>
    </row>
    <row r="37" spans="7:23">
      <c r="G37" s="30"/>
      <c r="H37" s="30"/>
      <c r="I37" s="117"/>
      <c r="L37" s="1"/>
      <c r="N37" s="1"/>
      <c r="R37" s="161"/>
    </row>
    <row r="38" spans="7:23">
      <c r="G38" s="30"/>
      <c r="H38" s="30"/>
      <c r="I38" s="117"/>
      <c r="L38" s="1"/>
      <c r="N38" s="1"/>
      <c r="R38" s="161"/>
      <c r="W38" t="s">
        <v>2446</v>
      </c>
    </row>
    <row r="39" spans="7:23">
      <c r="G39" s="30"/>
      <c r="H39" s="30"/>
      <c r="I39" s="117"/>
      <c r="L39" s="1"/>
      <c r="N39" s="1"/>
      <c r="W39" t="s">
        <v>2447</v>
      </c>
    </row>
    <row r="40" spans="7:23">
      <c r="G40" s="30"/>
      <c r="H40" s="30"/>
      <c r="I40" s="117"/>
      <c r="L40" s="1"/>
      <c r="N40" s="1"/>
      <c r="R40" s="445" t="s">
        <v>2599</v>
      </c>
      <c r="W40" t="s">
        <v>2448</v>
      </c>
    </row>
    <row r="41" spans="7:23">
      <c r="G41" s="30"/>
      <c r="H41" s="30"/>
      <c r="I41" s="117"/>
      <c r="L41" s="1"/>
      <c r="N41" s="1"/>
      <c r="Q41" s="516"/>
      <c r="R41" s="516"/>
    </row>
    <row r="42" spans="7:23">
      <c r="G42" s="30"/>
      <c r="H42" s="30"/>
      <c r="I42" s="117"/>
      <c r="L42" s="1"/>
      <c r="P42" s="90"/>
    </row>
    <row r="43" spans="7:23">
      <c r="G43" s="30"/>
      <c r="H43" s="30"/>
      <c r="I43" s="117"/>
      <c r="L43" s="1"/>
      <c r="P43" t="s">
        <v>2596</v>
      </c>
      <c r="Q43" s="445" t="s">
        <v>2597</v>
      </c>
    </row>
    <row r="44" spans="7:23">
      <c r="L44" s="1"/>
      <c r="W44" s="445" t="s">
        <v>2600</v>
      </c>
    </row>
    <row r="45" spans="7:23">
      <c r="L45" s="1"/>
      <c r="W45" s="445" t="s">
        <v>2601</v>
      </c>
    </row>
    <row r="46" spans="7:23">
      <c r="H46" t="s">
        <v>2421</v>
      </c>
      <c r="I46">
        <v>100</v>
      </c>
      <c r="W46" s="445" t="s">
        <v>2602</v>
      </c>
    </row>
  </sheetData>
  <mergeCells count="6">
    <mergeCell ref="H8:I8"/>
    <mergeCell ref="N13:O13"/>
    <mergeCell ref="Q41:R41"/>
    <mergeCell ref="I13:J13"/>
    <mergeCell ref="J12:K12"/>
    <mergeCell ref="G33:H33"/>
  </mergeCells>
  <phoneticPr fontId="5" type="noConversion"/>
  <hyperlinks>
    <hyperlink ref="W34" r:id="rId1" location="gid=1130773706 최적화 참고" xr:uid="{00000000-0004-0000-1900-000000000000}"/>
  </hyperlinks>
  <pageMargins left="0.7" right="0.7" top="0.75" bottom="0.75" header="0.3" footer="0.3"/>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2:P191"/>
  <sheetViews>
    <sheetView showGridLines="0" topLeftCell="A179" zoomScale="130" zoomScaleNormal="130" workbookViewId="0">
      <selection activeCell="I194" sqref="I194"/>
    </sheetView>
  </sheetViews>
  <sheetFormatPr defaultRowHeight="16.5"/>
  <cols>
    <col min="2" max="2" width="12.75" customWidth="1"/>
  </cols>
  <sheetData>
    <row r="2" spans="1:11" s="1" customFormat="1">
      <c r="B2" s="1" t="s">
        <v>330</v>
      </c>
      <c r="E2" s="1" t="s">
        <v>2563</v>
      </c>
    </row>
    <row r="3" spans="1:11">
      <c r="A3" s="387" t="s">
        <v>37</v>
      </c>
      <c r="B3" s="387" t="s">
        <v>38</v>
      </c>
      <c r="K3" t="s">
        <v>2492</v>
      </c>
    </row>
    <row r="4" spans="1:11">
      <c r="A4">
        <v>-3</v>
      </c>
      <c r="B4">
        <f>IF(A4&gt;0, A4, 0)</f>
        <v>0</v>
      </c>
    </row>
    <row r="5" spans="1:11" ht="21.75">
      <c r="A5">
        <v>-2.5</v>
      </c>
      <c r="B5">
        <f t="shared" ref="B5:B16" si="0">IF(A5&gt;0, A5, 0)</f>
        <v>0</v>
      </c>
      <c r="K5" s="177" t="s">
        <v>2493</v>
      </c>
    </row>
    <row r="6" spans="1:11">
      <c r="A6">
        <v>-2</v>
      </c>
      <c r="B6">
        <f t="shared" si="0"/>
        <v>0</v>
      </c>
      <c r="K6" s="129"/>
    </row>
    <row r="7" spans="1:11">
      <c r="A7">
        <v>-1.5</v>
      </c>
      <c r="B7">
        <f t="shared" si="0"/>
        <v>0</v>
      </c>
      <c r="K7" s="150" t="s">
        <v>2494</v>
      </c>
    </row>
    <row r="8" spans="1:11">
      <c r="A8">
        <v>-1</v>
      </c>
      <c r="B8">
        <f t="shared" si="0"/>
        <v>0</v>
      </c>
      <c r="K8" s="150" t="s">
        <v>2495</v>
      </c>
    </row>
    <row r="9" spans="1:11">
      <c r="A9">
        <v>-0.5</v>
      </c>
      <c r="B9">
        <f t="shared" si="0"/>
        <v>0</v>
      </c>
      <c r="K9" s="150" t="s">
        <v>2496</v>
      </c>
    </row>
    <row r="10" spans="1:11">
      <c r="A10">
        <v>0</v>
      </c>
      <c r="B10">
        <f t="shared" si="0"/>
        <v>0</v>
      </c>
    </row>
    <row r="11" spans="1:11" ht="21.75">
      <c r="A11">
        <v>0.5</v>
      </c>
      <c r="B11">
        <f t="shared" si="0"/>
        <v>0.5</v>
      </c>
      <c r="K11" s="177" t="s">
        <v>2497</v>
      </c>
    </row>
    <row r="12" spans="1:11">
      <c r="A12">
        <v>1</v>
      </c>
      <c r="B12">
        <f t="shared" si="0"/>
        <v>1</v>
      </c>
    </row>
    <row r="13" spans="1:11">
      <c r="A13">
        <v>1.5</v>
      </c>
      <c r="B13">
        <f t="shared" si="0"/>
        <v>1.5</v>
      </c>
      <c r="K13" t="s">
        <v>2498</v>
      </c>
    </row>
    <row r="14" spans="1:11">
      <c r="A14">
        <v>2</v>
      </c>
      <c r="B14">
        <f t="shared" si="0"/>
        <v>2</v>
      </c>
      <c r="K14" s="129"/>
    </row>
    <row r="15" spans="1:11">
      <c r="A15">
        <v>2.5</v>
      </c>
      <c r="B15">
        <f t="shared" si="0"/>
        <v>2.5</v>
      </c>
      <c r="K15" s="150" t="s">
        <v>2499</v>
      </c>
    </row>
    <row r="16" spans="1:11">
      <c r="A16">
        <v>3</v>
      </c>
      <c r="B16">
        <f t="shared" si="0"/>
        <v>3</v>
      </c>
      <c r="K16" s="150" t="s">
        <v>2500</v>
      </c>
    </row>
    <row r="18" spans="2:14">
      <c r="K18" t="s">
        <v>2501</v>
      </c>
    </row>
    <row r="19" spans="2:14" s="1" customFormat="1">
      <c r="B19" s="1" t="s">
        <v>332</v>
      </c>
      <c r="E19" s="1" t="s">
        <v>2564</v>
      </c>
    </row>
    <row r="20" spans="2:14">
      <c r="N20" t="s">
        <v>2502</v>
      </c>
    </row>
    <row r="22" spans="2:14" ht="21.75">
      <c r="N22" s="177" t="s">
        <v>2503</v>
      </c>
    </row>
    <row r="23" spans="2:14">
      <c r="N23" s="129"/>
    </row>
    <row r="24" spans="2:14">
      <c r="N24" s="150" t="s">
        <v>2504</v>
      </c>
    </row>
    <row r="25" spans="2:14">
      <c r="N25" s="150" t="s">
        <v>2505</v>
      </c>
    </row>
    <row r="27" spans="2:14">
      <c r="B27" s="73" t="s">
        <v>331</v>
      </c>
      <c r="C27" t="s">
        <v>38</v>
      </c>
      <c r="N27" t="s">
        <v>2506</v>
      </c>
    </row>
    <row r="28" spans="2:14">
      <c r="B28">
        <v>-3</v>
      </c>
      <c r="C28">
        <f xml:space="preserve"> (EXP(B28) - EXP(-B28)) / (EXP(B28) + EXP(-B28))</f>
        <v>-0.99505475368673058</v>
      </c>
    </row>
    <row r="29" spans="2:14">
      <c r="B29">
        <v>-2.5</v>
      </c>
      <c r="C29">
        <f t="shared" ref="C29:C40" si="1" xml:space="preserve"> (EXP(B29) - EXP(-B29)) / (EXP(B29) + EXP(-B29))</f>
        <v>-0.98661429815143042</v>
      </c>
    </row>
    <row r="30" spans="2:14">
      <c r="B30">
        <v>-2</v>
      </c>
      <c r="C30">
        <f t="shared" si="1"/>
        <v>-0.96402758007581701</v>
      </c>
    </row>
    <row r="31" spans="2:14">
      <c r="B31">
        <v>-1.5</v>
      </c>
      <c r="C31">
        <f t="shared" si="1"/>
        <v>-0.9051482536448664</v>
      </c>
    </row>
    <row r="32" spans="2:14">
      <c r="B32">
        <v>-1</v>
      </c>
      <c r="C32">
        <f t="shared" si="1"/>
        <v>-0.76159415595576485</v>
      </c>
    </row>
    <row r="33" spans="2:10">
      <c r="B33">
        <v>-0.5</v>
      </c>
      <c r="C33">
        <f t="shared" si="1"/>
        <v>-0.46211715726000979</v>
      </c>
    </row>
    <row r="34" spans="2:10">
      <c r="B34">
        <v>0</v>
      </c>
      <c r="C34">
        <f t="shared" si="1"/>
        <v>0</v>
      </c>
    </row>
    <row r="35" spans="2:10">
      <c r="B35">
        <v>0.5</v>
      </c>
      <c r="C35">
        <f t="shared" si="1"/>
        <v>0.46211715726000979</v>
      </c>
      <c r="J35" t="s">
        <v>2508</v>
      </c>
    </row>
    <row r="36" spans="2:10">
      <c r="B36">
        <v>1</v>
      </c>
      <c r="C36">
        <f t="shared" si="1"/>
        <v>0.76159415595576485</v>
      </c>
      <c r="J36" t="s">
        <v>2509</v>
      </c>
    </row>
    <row r="37" spans="2:10">
      <c r="B37">
        <v>1.5</v>
      </c>
      <c r="C37">
        <f t="shared" si="1"/>
        <v>0.9051482536448664</v>
      </c>
      <c r="J37" t="s">
        <v>2510</v>
      </c>
    </row>
    <row r="38" spans="2:10">
      <c r="B38">
        <v>2</v>
      </c>
      <c r="C38">
        <f t="shared" si="1"/>
        <v>0.96402758007581701</v>
      </c>
      <c r="J38" t="s">
        <v>2565</v>
      </c>
    </row>
    <row r="39" spans="2:10">
      <c r="B39">
        <v>2.5</v>
      </c>
      <c r="C39">
        <f t="shared" si="1"/>
        <v>0.98661429815143042</v>
      </c>
    </row>
    <row r="40" spans="2:10">
      <c r="B40">
        <v>3</v>
      </c>
      <c r="C40">
        <f t="shared" si="1"/>
        <v>0.99505475368673058</v>
      </c>
    </row>
    <row r="43" spans="2:10" s="1" customFormat="1">
      <c r="B43" s="1" t="s">
        <v>333</v>
      </c>
    </row>
    <row r="44" spans="2:10" s="119" customFormat="1">
      <c r="B44" s="118" t="s">
        <v>37</v>
      </c>
      <c r="C44" s="118" t="s">
        <v>334</v>
      </c>
      <c r="G44" s="118" t="s">
        <v>37</v>
      </c>
      <c r="H44" s="118" t="s">
        <v>334</v>
      </c>
    </row>
    <row r="45" spans="2:10">
      <c r="B45">
        <v>-1</v>
      </c>
      <c r="C45">
        <f>LN(1+EXP(B45))</f>
        <v>0.31326168751822286</v>
      </c>
      <c r="G45">
        <v>-10</v>
      </c>
      <c r="H45">
        <f>LN(1+EXP(G45))</f>
        <v>4.5398899216870535E-5</v>
      </c>
    </row>
    <row r="46" spans="2:10">
      <c r="B46">
        <v>-0.9</v>
      </c>
      <c r="C46">
        <f t="shared" ref="C46:C65" si="2">LN(1+EXP(B46))</f>
        <v>0.34115387473208791</v>
      </c>
      <c r="G46">
        <v>-9</v>
      </c>
      <c r="H46">
        <f t="shared" ref="H46:H65" si="3">LN(1+EXP(G46))</f>
        <v>1.2340218972333965E-4</v>
      </c>
    </row>
    <row r="47" spans="2:10">
      <c r="B47">
        <v>-0.8</v>
      </c>
      <c r="C47">
        <f t="shared" si="2"/>
        <v>0.37110066594777769</v>
      </c>
      <c r="G47">
        <v>-8</v>
      </c>
      <c r="H47">
        <f t="shared" si="3"/>
        <v>3.3540637289566238E-4</v>
      </c>
    </row>
    <row r="48" spans="2:10">
      <c r="B48">
        <v>-0.7</v>
      </c>
      <c r="C48">
        <f t="shared" si="2"/>
        <v>0.40318604888545784</v>
      </c>
      <c r="G48">
        <v>-7</v>
      </c>
      <c r="H48">
        <f t="shared" si="3"/>
        <v>9.1146645377420147E-4</v>
      </c>
    </row>
    <row r="49" spans="2:8">
      <c r="B49">
        <v>-0.6</v>
      </c>
      <c r="C49">
        <f t="shared" si="2"/>
        <v>0.43748795048588568</v>
      </c>
      <c r="G49">
        <v>-6</v>
      </c>
      <c r="H49">
        <f t="shared" si="3"/>
        <v>2.4756851377303571E-3</v>
      </c>
    </row>
    <row r="50" spans="2:8">
      <c r="B50">
        <v>-0.5</v>
      </c>
      <c r="C50">
        <f t="shared" si="2"/>
        <v>0.47407698418010669</v>
      </c>
      <c r="G50">
        <v>-5</v>
      </c>
      <c r="H50">
        <f t="shared" si="3"/>
        <v>6.7153484891179669E-3</v>
      </c>
    </row>
    <row r="51" spans="2:8">
      <c r="B51">
        <v>-0.4</v>
      </c>
      <c r="C51">
        <f t="shared" si="2"/>
        <v>0.5130152523999526</v>
      </c>
      <c r="G51">
        <v>-4</v>
      </c>
      <c r="H51">
        <f t="shared" si="3"/>
        <v>1.8149927917809779E-2</v>
      </c>
    </row>
    <row r="52" spans="2:8">
      <c r="B52">
        <v>-0.3</v>
      </c>
      <c r="C52">
        <f t="shared" si="2"/>
        <v>0.55435524446852702</v>
      </c>
      <c r="G52">
        <v>-3</v>
      </c>
      <c r="H52">
        <f t="shared" si="3"/>
        <v>4.8587351573741958E-2</v>
      </c>
    </row>
    <row r="53" spans="2:8">
      <c r="B53">
        <v>-0.2</v>
      </c>
      <c r="C53">
        <f t="shared" si="2"/>
        <v>0.59813886938159178</v>
      </c>
      <c r="G53">
        <v>-2</v>
      </c>
      <c r="H53">
        <f t="shared" si="3"/>
        <v>0.1269280110429726</v>
      </c>
    </row>
    <row r="54" spans="2:8">
      <c r="B54">
        <v>-0.1</v>
      </c>
      <c r="C54">
        <f t="shared" si="2"/>
        <v>0.64439666007357088</v>
      </c>
      <c r="G54">
        <v>-1</v>
      </c>
      <c r="H54">
        <f t="shared" si="3"/>
        <v>0.31326168751822286</v>
      </c>
    </row>
    <row r="55" spans="2:8">
      <c r="B55">
        <v>0</v>
      </c>
      <c r="C55">
        <f t="shared" si="2"/>
        <v>0.69314718055994529</v>
      </c>
      <c r="G55">
        <v>0</v>
      </c>
      <c r="H55">
        <f t="shared" si="3"/>
        <v>0.69314718055994529</v>
      </c>
    </row>
    <row r="56" spans="2:8">
      <c r="B56">
        <v>0.1</v>
      </c>
      <c r="C56">
        <f t="shared" si="2"/>
        <v>0.74439666007357097</v>
      </c>
      <c r="G56">
        <v>1</v>
      </c>
      <c r="H56">
        <f t="shared" si="3"/>
        <v>1.3132616875182228</v>
      </c>
    </row>
    <row r="57" spans="2:8">
      <c r="B57">
        <v>0.2</v>
      </c>
      <c r="C57">
        <f t="shared" si="2"/>
        <v>0.79813886938159173</v>
      </c>
      <c r="G57">
        <v>2</v>
      </c>
      <c r="H57">
        <f t="shared" si="3"/>
        <v>2.1269280110429727</v>
      </c>
    </row>
    <row r="58" spans="2:8">
      <c r="B58">
        <v>0.3</v>
      </c>
      <c r="C58">
        <f t="shared" si="2"/>
        <v>0.85435524446852718</v>
      </c>
      <c r="G58">
        <v>3</v>
      </c>
      <c r="H58">
        <f t="shared" si="3"/>
        <v>3.0485873515737421</v>
      </c>
    </row>
    <row r="59" spans="2:8">
      <c r="B59">
        <v>0.4</v>
      </c>
      <c r="C59">
        <f t="shared" si="2"/>
        <v>0.91301525239995263</v>
      </c>
      <c r="G59">
        <v>4</v>
      </c>
      <c r="H59">
        <f t="shared" si="3"/>
        <v>4.0181499279178094</v>
      </c>
    </row>
    <row r="60" spans="2:8">
      <c r="B60">
        <v>0.5</v>
      </c>
      <c r="C60">
        <f t="shared" si="2"/>
        <v>0.97407698418010669</v>
      </c>
      <c r="G60">
        <v>5</v>
      </c>
      <c r="H60">
        <f t="shared" si="3"/>
        <v>5.0067153484891183</v>
      </c>
    </row>
    <row r="61" spans="2:8">
      <c r="B61">
        <v>0.6</v>
      </c>
      <c r="C61">
        <f t="shared" si="2"/>
        <v>1.0374879504858856</v>
      </c>
      <c r="G61">
        <v>6</v>
      </c>
      <c r="H61">
        <f t="shared" si="3"/>
        <v>6.0024756851377301</v>
      </c>
    </row>
    <row r="62" spans="2:8">
      <c r="B62">
        <v>0.7</v>
      </c>
      <c r="C62">
        <f t="shared" si="2"/>
        <v>1.1031860488854579</v>
      </c>
      <c r="G62">
        <v>7</v>
      </c>
      <c r="H62">
        <f t="shared" si="3"/>
        <v>7.0009114664537737</v>
      </c>
    </row>
    <row r="63" spans="2:8">
      <c r="B63">
        <v>0.8</v>
      </c>
      <c r="C63">
        <f t="shared" si="2"/>
        <v>1.1711006659477778</v>
      </c>
      <c r="G63">
        <v>8</v>
      </c>
      <c r="H63">
        <f t="shared" si="3"/>
        <v>8.000335406372896</v>
      </c>
    </row>
    <row r="64" spans="2:8">
      <c r="B64">
        <v>0.9</v>
      </c>
      <c r="C64">
        <f t="shared" si="2"/>
        <v>1.2411538747320878</v>
      </c>
      <c r="G64">
        <v>9</v>
      </c>
      <c r="H64">
        <f t="shared" si="3"/>
        <v>9.0001234021897236</v>
      </c>
    </row>
    <row r="65" spans="2:10">
      <c r="B65">
        <v>1</v>
      </c>
      <c r="C65">
        <f t="shared" si="2"/>
        <v>1.3132616875182228</v>
      </c>
      <c r="G65">
        <v>10</v>
      </c>
      <c r="H65">
        <f t="shared" si="3"/>
        <v>10.000045398899218</v>
      </c>
    </row>
    <row r="68" spans="2:10" s="1" customFormat="1">
      <c r="B68" s="1" t="s">
        <v>426</v>
      </c>
    </row>
    <row r="71" spans="2:10">
      <c r="F71" t="s">
        <v>413</v>
      </c>
      <c r="G71" t="s">
        <v>414</v>
      </c>
      <c r="H71" t="s">
        <v>415</v>
      </c>
    </row>
    <row r="72" spans="2:10">
      <c r="F72">
        <v>0.7</v>
      </c>
      <c r="G72">
        <v>0.2</v>
      </c>
      <c r="H72">
        <v>0.1</v>
      </c>
    </row>
    <row r="74" spans="2:10">
      <c r="B74" s="518" t="s">
        <v>408</v>
      </c>
      <c r="C74" s="83" t="s">
        <v>409</v>
      </c>
      <c r="D74" s="83" t="s">
        <v>411</v>
      </c>
      <c r="F74" s="68">
        <f>F72</f>
        <v>0.7</v>
      </c>
      <c r="G74" s="68">
        <f>G72</f>
        <v>0.2</v>
      </c>
      <c r="H74" s="68">
        <f>H72</f>
        <v>0.1</v>
      </c>
    </row>
    <row r="75" spans="2:10">
      <c r="B75" s="518"/>
      <c r="C75" s="82" t="s">
        <v>410</v>
      </c>
      <c r="D75" s="82" t="s">
        <v>412</v>
      </c>
      <c r="F75">
        <f>1-F74</f>
        <v>0.30000000000000004</v>
      </c>
      <c r="G75">
        <f>1-G74</f>
        <v>0.8</v>
      </c>
      <c r="H75">
        <f>1-H74</f>
        <v>0.9</v>
      </c>
    </row>
    <row r="77" spans="2:10">
      <c r="B77" t="s">
        <v>416</v>
      </c>
      <c r="F77" s="534">
        <f>LOG(F74/F75)</f>
        <v>0.36797678529459432</v>
      </c>
      <c r="G77" s="534">
        <f>LOG(G74/G75)</f>
        <v>-0.6020599913279624</v>
      </c>
      <c r="H77" s="534">
        <f>LOG(H74/H75)</f>
        <v>-0.95424250943932487</v>
      </c>
    </row>
    <row r="78" spans="2:10">
      <c r="F78" s="534"/>
      <c r="G78" s="534"/>
      <c r="H78" s="534"/>
    </row>
    <row r="80" spans="2:10">
      <c r="D80" t="s">
        <v>417</v>
      </c>
      <c r="F80" s="534">
        <v>0.36797678529459432</v>
      </c>
      <c r="G80" s="534">
        <v>-0.6020599913279624</v>
      </c>
      <c r="H80" s="534">
        <v>-0.95424250943932487</v>
      </c>
      <c r="J80" t="s">
        <v>420</v>
      </c>
    </row>
    <row r="81" spans="2:14">
      <c r="F81" s="534"/>
      <c r="G81" s="534"/>
      <c r="H81" s="534"/>
    </row>
    <row r="83" spans="2:14">
      <c r="B83" t="s">
        <v>418</v>
      </c>
      <c r="F83">
        <f>1 / ( 1 + EXP(-F80))</f>
        <v>0.59097000811815192</v>
      </c>
      <c r="G83">
        <f>1 / ( 1 + EXP(-G80))</f>
        <v>0.35387254175900806</v>
      </c>
      <c r="H83">
        <f>1 / ( 1 + EXP(-H80))</f>
        <v>0.27803241996025485</v>
      </c>
      <c r="J83" t="s">
        <v>419</v>
      </c>
      <c r="N83" t="s">
        <v>425</v>
      </c>
    </row>
    <row r="88" spans="2:14">
      <c r="B88" t="s">
        <v>421</v>
      </c>
      <c r="E88" t="s">
        <v>422</v>
      </c>
    </row>
    <row r="89" spans="2:14">
      <c r="F89">
        <f>EXP(F80)</f>
        <v>1.4448084977809126</v>
      </c>
      <c r="G89">
        <f>EXP(G80)</f>
        <v>0.54768225254253322</v>
      </c>
      <c r="H89">
        <f>EXP(H80)</f>
        <v>0.38510374654904711</v>
      </c>
    </row>
    <row r="91" spans="2:14">
      <c r="E91" t="s">
        <v>423</v>
      </c>
    </row>
    <row r="92" spans="2:14">
      <c r="F92">
        <f>SUM(F89:H89)</f>
        <v>2.3775944968724927</v>
      </c>
    </row>
    <row r="95" spans="2:14">
      <c r="E95" t="s">
        <v>424</v>
      </c>
    </row>
    <row r="97" spans="6:8">
      <c r="F97">
        <f>F89/$F$92</f>
        <v>0.60767658222687915</v>
      </c>
      <c r="G97">
        <f>G89/$F$92</f>
        <v>0.23035141327209452</v>
      </c>
      <c r="H97">
        <f>H89/$F$92</f>
        <v>0.16197200450102645</v>
      </c>
    </row>
    <row r="116" spans="2:16" s="1" customFormat="1">
      <c r="B116" s="1" t="s">
        <v>2478</v>
      </c>
      <c r="D116" s="1" t="s">
        <v>2479</v>
      </c>
      <c r="O116" s="1" t="s">
        <v>2488</v>
      </c>
    </row>
    <row r="117" spans="2:16">
      <c r="O117" t="s">
        <v>2489</v>
      </c>
    </row>
    <row r="118" spans="2:16">
      <c r="G118" s="86" t="s">
        <v>2481</v>
      </c>
      <c r="H118" t="s">
        <v>2482</v>
      </c>
      <c r="O118" s="86" t="s">
        <v>2481</v>
      </c>
      <c r="P118" t="s">
        <v>2490</v>
      </c>
    </row>
    <row r="119" spans="2:16">
      <c r="D119" t="s">
        <v>2480</v>
      </c>
      <c r="H119" t="s">
        <v>2483</v>
      </c>
      <c r="P119" t="s">
        <v>2491</v>
      </c>
    </row>
    <row r="120" spans="2:16">
      <c r="H120" t="s">
        <v>2484</v>
      </c>
    </row>
    <row r="122" spans="2:16">
      <c r="D122" t="s">
        <v>2480</v>
      </c>
    </row>
    <row r="125" spans="2:16">
      <c r="B125" s="89" t="s">
        <v>2485</v>
      </c>
      <c r="C125" s="89" t="s">
        <v>2487</v>
      </c>
      <c r="D125" s="89" t="s">
        <v>2486</v>
      </c>
    </row>
    <row r="126" spans="2:16">
      <c r="B126" s="89">
        <v>-0.01</v>
      </c>
      <c r="C126" s="89">
        <f>0.04*B126</f>
        <v>-4.0000000000000002E-4</v>
      </c>
      <c r="D126" s="89">
        <f>MAX(C126,B126)</f>
        <v>-4.0000000000000002E-4</v>
      </c>
    </row>
    <row r="127" spans="2:16">
      <c r="B127" s="89">
        <v>-8.9999999999999993E-3</v>
      </c>
      <c r="C127" s="89">
        <f t="shared" ref="C127:C146" si="4">0.04*B127</f>
        <v>-3.5999999999999997E-4</v>
      </c>
      <c r="D127" s="89">
        <f t="shared" ref="D127:D146" si="5">MAX(C127,B127)</f>
        <v>-3.5999999999999997E-4</v>
      </c>
    </row>
    <row r="128" spans="2:16">
      <c r="B128" s="89">
        <v>-8.0000000000000002E-3</v>
      </c>
      <c r="C128" s="89">
        <f t="shared" si="4"/>
        <v>-3.2000000000000003E-4</v>
      </c>
      <c r="D128" s="89">
        <f t="shared" si="5"/>
        <v>-3.2000000000000003E-4</v>
      </c>
    </row>
    <row r="129" spans="2:4">
      <c r="B129" s="89">
        <v>-7.0000000000000001E-3</v>
      </c>
      <c r="C129" s="89">
        <f t="shared" si="4"/>
        <v>-2.8000000000000003E-4</v>
      </c>
      <c r="D129" s="89">
        <f t="shared" si="5"/>
        <v>-2.8000000000000003E-4</v>
      </c>
    </row>
    <row r="130" spans="2:4">
      <c r="B130" s="89">
        <v>-6.0000000000000001E-3</v>
      </c>
      <c r="C130" s="89">
        <f t="shared" si="4"/>
        <v>-2.4000000000000001E-4</v>
      </c>
      <c r="D130" s="89">
        <f t="shared" si="5"/>
        <v>-2.4000000000000001E-4</v>
      </c>
    </row>
    <row r="131" spans="2:4">
      <c r="B131" s="89">
        <v>-5.0000000000000001E-3</v>
      </c>
      <c r="C131" s="89">
        <f t="shared" si="4"/>
        <v>-2.0000000000000001E-4</v>
      </c>
      <c r="D131" s="89">
        <f t="shared" si="5"/>
        <v>-2.0000000000000001E-4</v>
      </c>
    </row>
    <row r="132" spans="2:4">
      <c r="B132" s="89">
        <v>-3.9999999999999897E-3</v>
      </c>
      <c r="C132" s="89">
        <f t="shared" si="4"/>
        <v>-1.5999999999999958E-4</v>
      </c>
      <c r="D132" s="89">
        <f t="shared" si="5"/>
        <v>-1.5999999999999958E-4</v>
      </c>
    </row>
    <row r="133" spans="2:4">
      <c r="B133" s="89">
        <v>-2.9999999999999901E-3</v>
      </c>
      <c r="C133" s="89">
        <f t="shared" si="4"/>
        <v>-1.1999999999999961E-4</v>
      </c>
      <c r="D133" s="89">
        <f t="shared" si="5"/>
        <v>-1.1999999999999961E-4</v>
      </c>
    </row>
    <row r="134" spans="2:4">
      <c r="B134" s="89">
        <v>-1.9999999999999901E-3</v>
      </c>
      <c r="C134" s="89">
        <f t="shared" si="4"/>
        <v>-7.99999999999996E-5</v>
      </c>
      <c r="D134" s="89">
        <f t="shared" si="5"/>
        <v>-7.99999999999996E-5</v>
      </c>
    </row>
    <row r="135" spans="2:4">
      <c r="B135" s="89">
        <v>-9.9999999999999005E-4</v>
      </c>
      <c r="C135" s="89">
        <f t="shared" si="4"/>
        <v>-3.9999999999999603E-5</v>
      </c>
      <c r="D135" s="89">
        <f t="shared" si="5"/>
        <v>-3.9999999999999603E-5</v>
      </c>
    </row>
    <row r="136" spans="2:4">
      <c r="B136" s="89">
        <v>0</v>
      </c>
      <c r="C136" s="89">
        <f t="shared" si="4"/>
        <v>0</v>
      </c>
      <c r="D136" s="89">
        <f t="shared" si="5"/>
        <v>0</v>
      </c>
    </row>
    <row r="137" spans="2:4">
      <c r="B137" s="89">
        <v>9.9999999999999894E-4</v>
      </c>
      <c r="C137" s="89">
        <f t="shared" si="4"/>
        <v>3.9999999999999956E-5</v>
      </c>
      <c r="D137" s="89">
        <f t="shared" si="5"/>
        <v>9.9999999999999894E-4</v>
      </c>
    </row>
    <row r="138" spans="2:4">
      <c r="B138" s="89">
        <v>2E-3</v>
      </c>
      <c r="C138" s="89">
        <f t="shared" si="4"/>
        <v>8.0000000000000007E-5</v>
      </c>
      <c r="D138" s="89">
        <f t="shared" si="5"/>
        <v>2E-3</v>
      </c>
    </row>
    <row r="139" spans="2:4">
      <c r="B139" s="89">
        <v>3.0000000000000001E-3</v>
      </c>
      <c r="C139" s="89">
        <f t="shared" si="4"/>
        <v>1.2E-4</v>
      </c>
      <c r="D139" s="89">
        <f t="shared" si="5"/>
        <v>3.0000000000000001E-3</v>
      </c>
    </row>
    <row r="140" spans="2:4">
      <c r="B140" s="89">
        <v>4.0000000000000001E-3</v>
      </c>
      <c r="C140" s="89">
        <f t="shared" si="4"/>
        <v>1.6000000000000001E-4</v>
      </c>
      <c r="D140" s="89">
        <f t="shared" si="5"/>
        <v>4.0000000000000001E-3</v>
      </c>
    </row>
    <row r="141" spans="2:4">
      <c r="B141" s="89">
        <v>5.0000000000000001E-3</v>
      </c>
      <c r="C141" s="89">
        <f t="shared" si="4"/>
        <v>2.0000000000000001E-4</v>
      </c>
      <c r="D141" s="89">
        <f t="shared" si="5"/>
        <v>5.0000000000000001E-3</v>
      </c>
    </row>
    <row r="142" spans="2:4">
      <c r="B142" s="89">
        <v>6.0000000000000001E-3</v>
      </c>
      <c r="C142" s="89">
        <f t="shared" si="4"/>
        <v>2.4000000000000001E-4</v>
      </c>
      <c r="D142" s="89">
        <f t="shared" si="5"/>
        <v>6.0000000000000001E-3</v>
      </c>
    </row>
    <row r="143" spans="2:4">
      <c r="B143" s="89">
        <v>7.0000000000000001E-3</v>
      </c>
      <c r="C143" s="89">
        <f t="shared" si="4"/>
        <v>2.8000000000000003E-4</v>
      </c>
      <c r="D143" s="89">
        <f t="shared" si="5"/>
        <v>7.0000000000000001E-3</v>
      </c>
    </row>
    <row r="144" spans="2:4">
      <c r="B144" s="89">
        <v>8.0000000000000002E-3</v>
      </c>
      <c r="C144" s="89">
        <f t="shared" si="4"/>
        <v>3.2000000000000003E-4</v>
      </c>
      <c r="D144" s="89">
        <f t="shared" si="5"/>
        <v>8.0000000000000002E-3</v>
      </c>
    </row>
    <row r="145" spans="2:8">
      <c r="B145" s="89">
        <v>8.9999999999999993E-3</v>
      </c>
      <c r="C145" s="89">
        <f t="shared" si="4"/>
        <v>3.5999999999999997E-4</v>
      </c>
      <c r="D145" s="89">
        <f t="shared" si="5"/>
        <v>8.9999999999999993E-3</v>
      </c>
    </row>
    <row r="146" spans="2:8">
      <c r="B146" s="89">
        <v>0.01</v>
      </c>
      <c r="C146" s="89">
        <f t="shared" si="4"/>
        <v>4.0000000000000002E-4</v>
      </c>
      <c r="D146" s="89">
        <f t="shared" si="5"/>
        <v>0.01</v>
      </c>
    </row>
    <row r="149" spans="2:8" s="1" customFormat="1">
      <c r="B149" s="1" t="s">
        <v>2557</v>
      </c>
      <c r="C149" s="1" t="s">
        <v>2558</v>
      </c>
    </row>
    <row r="151" spans="2:8" ht="15" customHeight="1">
      <c r="C151" t="s">
        <v>2554</v>
      </c>
      <c r="G151" t="s">
        <v>2512</v>
      </c>
    </row>
    <row r="152" spans="2:8">
      <c r="B152" t="s">
        <v>2507</v>
      </c>
      <c r="C152" t="s">
        <v>2554</v>
      </c>
      <c r="G152" t="s">
        <v>2555</v>
      </c>
      <c r="H152" t="s">
        <v>2556</v>
      </c>
    </row>
    <row r="172" spans="2:6" s="1" customFormat="1">
      <c r="B172" s="1" t="s">
        <v>2559</v>
      </c>
      <c r="C172" s="1" t="s">
        <v>2560</v>
      </c>
    </row>
    <row r="174" spans="2:6">
      <c r="F174" t="s">
        <v>2562</v>
      </c>
    </row>
    <row r="175" spans="2:6">
      <c r="C175" t="s">
        <v>2561</v>
      </c>
    </row>
    <row r="191" spans="2:2" s="1" customFormat="1">
      <c r="B191" s="1" t="s">
        <v>2511</v>
      </c>
    </row>
  </sheetData>
  <mergeCells count="7">
    <mergeCell ref="B74:B75"/>
    <mergeCell ref="F77:F78"/>
    <mergeCell ref="G77:G78"/>
    <mergeCell ref="H77:H78"/>
    <mergeCell ref="F80:F81"/>
    <mergeCell ref="G80:G81"/>
    <mergeCell ref="H80:H81"/>
  </mergeCells>
  <phoneticPr fontId="5" type="noConversion"/>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B48:I172"/>
  <sheetViews>
    <sheetView showGridLines="0" topLeftCell="A150" zoomScale="115" zoomScaleNormal="115" workbookViewId="0">
      <selection activeCell="B153" sqref="B153"/>
    </sheetView>
  </sheetViews>
  <sheetFormatPr defaultRowHeight="16.5"/>
  <sheetData>
    <row r="48" spans="2:2" s="1" customFormat="1">
      <c r="B48" s="1" t="s">
        <v>2513</v>
      </c>
    </row>
    <row r="51" spans="3:4">
      <c r="C51" s="427" t="s">
        <v>2514</v>
      </c>
      <c r="D51" t="s">
        <v>2515</v>
      </c>
    </row>
    <row r="71" spans="3:9" ht="21.75">
      <c r="C71" s="427" t="s">
        <v>2516</v>
      </c>
      <c r="I71" s="177" t="s">
        <v>2517</v>
      </c>
    </row>
    <row r="72" spans="3:9">
      <c r="I72" s="129"/>
    </row>
    <row r="73" spans="3:9">
      <c r="I73" s="150" t="s">
        <v>2518</v>
      </c>
    </row>
    <row r="74" spans="3:9">
      <c r="I74" s="150" t="s">
        <v>2519</v>
      </c>
    </row>
    <row r="76" spans="3:9" ht="21.75">
      <c r="I76" s="177" t="s">
        <v>1717</v>
      </c>
    </row>
    <row r="77" spans="3:9">
      <c r="I77" s="129"/>
    </row>
    <row r="78" spans="3:9">
      <c r="I78" s="150" t="s">
        <v>2520</v>
      </c>
    </row>
    <row r="79" spans="3:9">
      <c r="I79" s="150" t="s">
        <v>2521</v>
      </c>
    </row>
    <row r="81" spans="3:9">
      <c r="I81" t="s">
        <v>2522</v>
      </c>
    </row>
    <row r="86" spans="3:9" ht="21.75">
      <c r="C86" s="427" t="s">
        <v>2526</v>
      </c>
      <c r="I86" s="177" t="s">
        <v>2517</v>
      </c>
    </row>
    <row r="87" spans="3:9">
      <c r="I87" s="129"/>
    </row>
    <row r="88" spans="3:9">
      <c r="I88" s="150" t="s">
        <v>2569</v>
      </c>
    </row>
    <row r="89" spans="3:9">
      <c r="I89" s="150" t="s">
        <v>2523</v>
      </c>
    </row>
    <row r="91" spans="3:9" ht="21.75">
      <c r="I91" s="177" t="s">
        <v>1717</v>
      </c>
    </row>
    <row r="92" spans="3:9">
      <c r="I92" s="129"/>
    </row>
    <row r="93" spans="3:9">
      <c r="I93" s="150" t="s">
        <v>2524</v>
      </c>
    </row>
    <row r="95" spans="3:9">
      <c r="I95" t="s">
        <v>2525</v>
      </c>
    </row>
    <row r="102" spans="2:2">
      <c r="B102" s="427" t="s">
        <v>2527</v>
      </c>
    </row>
    <row r="121" spans="2:5">
      <c r="B121" s="427" t="s">
        <v>2528</v>
      </c>
      <c r="E121" s="90" t="s">
        <v>2570</v>
      </c>
    </row>
    <row r="172" spans="3:5">
      <c r="C172" s="427" t="s">
        <v>2529</v>
      </c>
      <c r="E172" t="s">
        <v>2571</v>
      </c>
    </row>
  </sheetData>
  <phoneticPr fontId="5" type="noConversion"/>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2:AF399"/>
  <sheetViews>
    <sheetView showGridLines="0" topLeftCell="A6" zoomScale="115" zoomScaleNormal="115" workbookViewId="0">
      <selection activeCell="D31" sqref="D31"/>
    </sheetView>
  </sheetViews>
  <sheetFormatPr defaultRowHeight="16.5"/>
  <cols>
    <col min="3" max="3" width="31" customWidth="1"/>
    <col min="4" max="4" width="14.75" customWidth="1"/>
    <col min="5" max="5" width="12.5" customWidth="1"/>
    <col min="6" max="6" width="9" customWidth="1"/>
    <col min="9" max="9" width="11.375" customWidth="1"/>
    <col min="11" max="11" width="9.875" customWidth="1"/>
    <col min="12" max="12" width="13.625" customWidth="1"/>
  </cols>
  <sheetData>
    <row r="2" spans="1:28">
      <c r="A2" s="424"/>
      <c r="B2" s="425" t="s">
        <v>2431</v>
      </c>
      <c r="C2" s="424"/>
      <c r="D2" s="424"/>
      <c r="E2" s="424"/>
      <c r="F2" s="424"/>
      <c r="G2" s="424"/>
      <c r="H2" s="424"/>
      <c r="I2" s="424"/>
      <c r="J2" s="424"/>
      <c r="K2" s="424"/>
      <c r="L2" s="424"/>
      <c r="M2" s="424"/>
      <c r="N2" s="424"/>
      <c r="O2" s="424"/>
      <c r="P2" s="424"/>
      <c r="Q2" s="424"/>
      <c r="R2" s="424"/>
      <c r="S2" s="424"/>
      <c r="T2" s="424"/>
      <c r="U2" s="424"/>
      <c r="V2" s="424"/>
      <c r="W2" s="424"/>
      <c r="X2" s="424"/>
      <c r="Y2" s="424"/>
      <c r="Z2" s="424"/>
      <c r="AA2" s="141"/>
    </row>
    <row r="3" spans="1:28">
      <c r="A3" s="141"/>
      <c r="B3" s="426" t="s">
        <v>2432</v>
      </c>
      <c r="C3" s="141"/>
      <c r="D3" s="141"/>
      <c r="E3" s="141"/>
      <c r="F3" s="141"/>
      <c r="G3" s="141"/>
      <c r="H3" s="141"/>
      <c r="I3" s="141"/>
      <c r="J3" s="141"/>
      <c r="K3" s="141"/>
      <c r="L3" s="141"/>
      <c r="M3" s="141"/>
      <c r="N3" s="141"/>
      <c r="O3" s="141"/>
      <c r="P3" s="141"/>
      <c r="Q3" s="141"/>
      <c r="R3" s="141"/>
      <c r="S3" s="141"/>
      <c r="T3" s="141"/>
      <c r="U3" s="141"/>
      <c r="V3" s="141"/>
      <c r="W3" s="141"/>
      <c r="X3" s="141"/>
      <c r="Y3" s="141"/>
      <c r="Z3" s="141"/>
      <c r="AA3" s="141"/>
    </row>
    <row r="4" spans="1:28">
      <c r="A4" s="141"/>
      <c r="B4" s="142" t="s">
        <v>2433</v>
      </c>
      <c r="C4" s="141"/>
      <c r="D4" s="141"/>
      <c r="E4" s="141"/>
      <c r="F4" s="141"/>
      <c r="G4" s="141"/>
      <c r="H4" s="141"/>
      <c r="I4" s="141"/>
      <c r="J4" s="141"/>
      <c r="K4" s="141"/>
      <c r="L4" s="141"/>
      <c r="M4" s="141"/>
      <c r="N4" s="141"/>
      <c r="O4" s="141"/>
      <c r="P4" s="141"/>
      <c r="Q4" s="141"/>
      <c r="R4" s="141"/>
      <c r="S4" s="141"/>
      <c r="T4" s="141"/>
      <c r="U4" s="141"/>
      <c r="V4" s="141"/>
      <c r="W4" s="141"/>
      <c r="X4" s="141"/>
      <c r="Y4" s="141"/>
      <c r="Z4" s="141"/>
      <c r="AA4" s="141"/>
    </row>
    <row r="5" spans="1:28">
      <c r="A5" s="141"/>
      <c r="B5" s="141"/>
      <c r="C5" s="141"/>
      <c r="D5" s="141"/>
      <c r="E5" s="141"/>
      <c r="F5" s="141"/>
      <c r="G5" s="141"/>
      <c r="H5" s="141"/>
      <c r="I5" s="141"/>
      <c r="J5" s="141"/>
      <c r="K5" s="141"/>
      <c r="L5" s="141"/>
      <c r="M5" s="141"/>
      <c r="N5" s="141"/>
      <c r="O5" s="141"/>
      <c r="P5" s="141"/>
      <c r="Q5" s="141"/>
      <c r="R5" s="141"/>
      <c r="S5" s="141"/>
      <c r="T5" s="141"/>
      <c r="U5" s="141"/>
      <c r="V5" s="141"/>
      <c r="W5" s="141"/>
      <c r="X5" s="141"/>
      <c r="Y5" s="141"/>
      <c r="Z5" s="141"/>
      <c r="AA5" s="141"/>
    </row>
    <row r="6" spans="1:28">
      <c r="A6" s="141"/>
      <c r="B6" s="141"/>
      <c r="C6" s="141" t="s">
        <v>2434</v>
      </c>
      <c r="D6" s="141" t="s">
        <v>2435</v>
      </c>
      <c r="E6" s="142" t="s">
        <v>437</v>
      </c>
      <c r="F6" s="141"/>
      <c r="G6" s="141"/>
      <c r="H6" s="141"/>
      <c r="I6" s="141"/>
      <c r="J6" s="141"/>
      <c r="K6" s="141"/>
      <c r="L6" s="141"/>
      <c r="M6" s="141"/>
      <c r="N6" s="141"/>
      <c r="O6" s="141"/>
      <c r="P6" s="141"/>
      <c r="Q6" s="141"/>
      <c r="R6" s="141"/>
      <c r="S6" s="141"/>
      <c r="T6" s="141"/>
      <c r="U6" s="141"/>
      <c r="V6" s="141"/>
      <c r="W6" s="141"/>
      <c r="X6" s="141"/>
      <c r="Y6" s="141"/>
      <c r="Z6" s="141"/>
      <c r="AA6" s="141"/>
    </row>
    <row r="7" spans="1:28">
      <c r="A7" s="141"/>
      <c r="B7" s="141"/>
      <c r="C7" s="141"/>
      <c r="D7" s="141"/>
      <c r="E7" s="143" t="s">
        <v>438</v>
      </c>
      <c r="F7" s="141"/>
      <c r="G7" s="141"/>
      <c r="H7" s="141"/>
      <c r="I7" s="141"/>
      <c r="J7" s="141"/>
      <c r="K7" s="141"/>
      <c r="L7" s="141"/>
      <c r="M7" s="141"/>
      <c r="N7" s="141"/>
      <c r="O7" s="141"/>
      <c r="P7" s="141"/>
      <c r="Q7" s="141"/>
      <c r="R7" s="141"/>
      <c r="S7" s="141"/>
      <c r="T7" s="141"/>
      <c r="U7" s="141"/>
      <c r="V7" s="141"/>
      <c r="W7" s="141"/>
      <c r="X7" s="141"/>
      <c r="Y7" s="141"/>
      <c r="Z7" s="141"/>
      <c r="AA7" s="141"/>
    </row>
    <row r="8" spans="1:28">
      <c r="A8" s="141"/>
      <c r="B8" s="141"/>
      <c r="C8" s="141"/>
      <c r="D8" s="142" t="s">
        <v>440</v>
      </c>
      <c r="E8" s="141"/>
      <c r="F8" s="141" t="s">
        <v>2436</v>
      </c>
      <c r="G8" s="142" t="s">
        <v>442</v>
      </c>
      <c r="H8" s="141"/>
      <c r="I8" s="141"/>
      <c r="J8" s="141"/>
      <c r="K8" s="141"/>
      <c r="L8" s="141"/>
      <c r="M8" s="141"/>
      <c r="N8" s="141"/>
      <c r="O8" s="141"/>
      <c r="P8" s="141"/>
      <c r="Q8" s="141"/>
      <c r="R8" s="141"/>
      <c r="S8" s="141"/>
      <c r="T8" s="141"/>
      <c r="U8" s="141"/>
      <c r="V8" s="141"/>
      <c r="W8" s="141"/>
      <c r="X8" s="141"/>
      <c r="Y8" s="141"/>
      <c r="Z8" s="141"/>
      <c r="AA8" s="141"/>
    </row>
    <row r="9" spans="1:28">
      <c r="A9" s="141"/>
      <c r="B9" s="141"/>
      <c r="C9" s="141"/>
      <c r="D9" s="141"/>
      <c r="E9" s="141"/>
      <c r="F9" s="141"/>
      <c r="G9" s="143" t="s">
        <v>443</v>
      </c>
      <c r="H9" s="141"/>
      <c r="I9" s="141"/>
      <c r="J9" s="141"/>
      <c r="K9" s="141"/>
      <c r="L9" s="141"/>
      <c r="M9" s="141"/>
      <c r="N9" s="141"/>
      <c r="O9" s="141"/>
      <c r="P9" s="141"/>
      <c r="Q9" s="141"/>
      <c r="R9" s="141"/>
      <c r="S9" s="141"/>
      <c r="T9" s="141"/>
      <c r="U9" s="141"/>
      <c r="V9" s="141"/>
      <c r="W9" s="141"/>
      <c r="X9" s="141"/>
      <c r="Y9" s="141"/>
      <c r="Z9" s="141"/>
      <c r="AA9" s="141"/>
    </row>
    <row r="12" spans="1:28" s="427" customFormat="1" ht="26.25">
      <c r="B12" s="427" t="s">
        <v>2443</v>
      </c>
      <c r="D12" s="443" t="s">
        <v>2593</v>
      </c>
    </row>
    <row r="13" spans="1:28">
      <c r="AB13" t="s">
        <v>2573</v>
      </c>
    </row>
    <row r="15" spans="1:28" ht="21.75">
      <c r="C15" s="427" t="s">
        <v>2437</v>
      </c>
      <c r="E15" s="431" t="s">
        <v>2550</v>
      </c>
      <c r="G15" s="431" t="s">
        <v>2627</v>
      </c>
      <c r="I15" s="431" t="s">
        <v>2438</v>
      </c>
      <c r="K15" s="431" t="s">
        <v>2439</v>
      </c>
      <c r="M15" s="431" t="s">
        <v>2552</v>
      </c>
      <c r="O15" s="431" t="s">
        <v>2630</v>
      </c>
      <c r="AB15" s="177" t="s">
        <v>2574</v>
      </c>
    </row>
    <row r="16" spans="1:28">
      <c r="R16" s="434" t="s">
        <v>2442</v>
      </c>
    </row>
    <row r="17" spans="2:28" ht="32.25" customHeight="1">
      <c r="C17" s="427" t="s">
        <v>2440</v>
      </c>
      <c r="E17" s="434" t="s">
        <v>2551</v>
      </c>
      <c r="G17" s="450" t="s">
        <v>2629</v>
      </c>
      <c r="I17" s="434" t="s">
        <v>2441</v>
      </c>
      <c r="K17" s="434" t="s">
        <v>2628</v>
      </c>
      <c r="AB17" t="s">
        <v>2575</v>
      </c>
    </row>
    <row r="19" spans="2:28" ht="21.75">
      <c r="B19" t="s">
        <v>2450</v>
      </c>
      <c r="AB19" s="177" t="s">
        <v>2576</v>
      </c>
    </row>
    <row r="21" spans="2:28">
      <c r="J21" s="4" t="s">
        <v>2469</v>
      </c>
      <c r="AB21" t="s">
        <v>2577</v>
      </c>
    </row>
    <row r="22" spans="2:28" ht="16.5" customHeight="1">
      <c r="C22" s="535" t="s">
        <v>2451</v>
      </c>
      <c r="D22" s="535"/>
      <c r="E22" s="141"/>
      <c r="F22" s="141"/>
      <c r="G22" s="141"/>
      <c r="H22" s="141"/>
      <c r="J22" s="429" t="s">
        <v>2464</v>
      </c>
      <c r="K22" s="430"/>
      <c r="L22" s="430"/>
      <c r="AB22" s="129"/>
    </row>
    <row r="23" spans="2:28" ht="16.5" customHeight="1">
      <c r="C23" s="536" t="s">
        <v>2452</v>
      </c>
      <c r="D23" s="536"/>
      <c r="E23" s="428" t="s">
        <v>2453</v>
      </c>
      <c r="F23" s="141"/>
      <c r="G23" s="141"/>
      <c r="H23" s="141"/>
      <c r="J23" s="536" t="s">
        <v>2452</v>
      </c>
      <c r="K23" s="536"/>
      <c r="L23" s="428" t="s">
        <v>2453</v>
      </c>
      <c r="AB23" s="150" t="s">
        <v>2578</v>
      </c>
    </row>
    <row r="24" spans="2:28" ht="16.5" customHeight="1">
      <c r="C24" s="524" t="s">
        <v>2454</v>
      </c>
      <c r="D24" s="524"/>
      <c r="E24" s="141" t="s">
        <v>2455</v>
      </c>
      <c r="F24" s="141"/>
      <c r="G24" s="141"/>
      <c r="H24" s="141"/>
      <c r="J24" s="524" t="s">
        <v>2454</v>
      </c>
      <c r="K24" s="524"/>
      <c r="L24" s="141" t="s">
        <v>2465</v>
      </c>
      <c r="AB24" s="150" t="s">
        <v>2579</v>
      </c>
    </row>
    <row r="25" spans="2:28" ht="16.5" customHeight="1">
      <c r="C25" s="524" t="s">
        <v>2456</v>
      </c>
      <c r="D25" s="524"/>
      <c r="E25" s="141" t="s">
        <v>2457</v>
      </c>
      <c r="F25" s="141"/>
      <c r="G25" s="141"/>
      <c r="H25" s="141"/>
      <c r="J25" s="524" t="s">
        <v>2456</v>
      </c>
      <c r="K25" s="524"/>
      <c r="L25" s="141" t="s">
        <v>2466</v>
      </c>
      <c r="AB25" s="150" t="s">
        <v>2580</v>
      </c>
    </row>
    <row r="26" spans="2:28" ht="16.5" customHeight="1">
      <c r="C26" s="524" t="s">
        <v>2458</v>
      </c>
      <c r="D26" s="524"/>
      <c r="E26" s="142" t="s">
        <v>2459</v>
      </c>
      <c r="F26" s="141"/>
      <c r="G26" s="141"/>
      <c r="H26" s="141"/>
      <c r="J26" s="524" t="s">
        <v>2458</v>
      </c>
      <c r="K26" s="524"/>
      <c r="L26" s="142" t="s">
        <v>2467</v>
      </c>
    </row>
    <row r="27" spans="2:28" ht="16.5" customHeight="1">
      <c r="C27" s="524" t="s">
        <v>2460</v>
      </c>
      <c r="D27" s="524"/>
      <c r="E27" s="142" t="s">
        <v>2461</v>
      </c>
      <c r="F27" s="141"/>
      <c r="G27" s="141"/>
      <c r="H27" s="141"/>
      <c r="J27" s="524" t="s">
        <v>2460</v>
      </c>
      <c r="K27" s="524"/>
      <c r="L27" s="142" t="s">
        <v>2468</v>
      </c>
      <c r="AB27" s="177" t="s">
        <v>1684</v>
      </c>
    </row>
    <row r="28" spans="2:28" ht="16.5" customHeight="1">
      <c r="C28" s="524" t="s">
        <v>2462</v>
      </c>
      <c r="D28" s="524"/>
      <c r="E28" s="142" t="s">
        <v>2463</v>
      </c>
      <c r="F28" s="141"/>
      <c r="G28" s="141"/>
      <c r="H28" s="141"/>
      <c r="J28" s="524" t="s">
        <v>2462</v>
      </c>
      <c r="K28" s="524"/>
      <c r="L28" s="142" t="s">
        <v>2463</v>
      </c>
    </row>
    <row r="29" spans="2:28">
      <c r="AB29" t="s">
        <v>2581</v>
      </c>
    </row>
    <row r="35" spans="1:27">
      <c r="A35" s="432"/>
      <c r="B35" s="433" t="s">
        <v>2470</v>
      </c>
      <c r="C35" s="432"/>
      <c r="D35" s="432"/>
      <c r="E35" s="432"/>
      <c r="F35" s="432"/>
      <c r="G35" s="432"/>
      <c r="H35" s="432"/>
      <c r="I35" s="432"/>
      <c r="J35" s="432"/>
      <c r="K35" s="432"/>
      <c r="L35" s="432"/>
      <c r="M35" s="432"/>
      <c r="N35" s="432"/>
      <c r="O35" s="432"/>
      <c r="P35" s="432"/>
      <c r="Q35" s="432"/>
      <c r="R35" s="432"/>
      <c r="S35" s="432"/>
      <c r="T35" s="432"/>
      <c r="U35" s="432"/>
      <c r="V35" s="432"/>
      <c r="W35" s="432"/>
      <c r="X35" s="432"/>
      <c r="Y35" s="432"/>
      <c r="Z35" s="432"/>
      <c r="AA35" s="141"/>
    </row>
    <row r="36" spans="1:27">
      <c r="D36" s="4"/>
      <c r="M36" t="s">
        <v>2471</v>
      </c>
    </row>
    <row r="78" spans="2:7" s="1" customFormat="1" ht="26.25">
      <c r="B78" s="441" t="s">
        <v>2530</v>
      </c>
      <c r="D78" s="437" t="s">
        <v>2537</v>
      </c>
      <c r="G78" s="1" t="s">
        <v>2515</v>
      </c>
    </row>
    <row r="89" spans="12:32">
      <c r="L89" t="s">
        <v>2540</v>
      </c>
    </row>
    <row r="91" spans="12:32" ht="21.75">
      <c r="L91" s="177" t="s">
        <v>2541</v>
      </c>
    </row>
    <row r="92" spans="12:32">
      <c r="L92" s="129"/>
    </row>
    <row r="93" spans="12:32">
      <c r="L93" s="150" t="s">
        <v>2542</v>
      </c>
      <c r="AF93" s="4" t="s">
        <v>2702</v>
      </c>
    </row>
    <row r="94" spans="12:32">
      <c r="L94" s="150" t="s">
        <v>2543</v>
      </c>
    </row>
    <row r="95" spans="12:32">
      <c r="AF95" t="s">
        <v>2703</v>
      </c>
    </row>
    <row r="96" spans="12:32" ht="21.75">
      <c r="L96" s="177" t="s">
        <v>2544</v>
      </c>
    </row>
    <row r="97" spans="2:12">
      <c r="L97" s="129"/>
    </row>
    <row r="98" spans="2:12">
      <c r="L98" s="150" t="s">
        <v>2545</v>
      </c>
    </row>
    <row r="99" spans="2:12">
      <c r="L99" s="150" t="s">
        <v>2546</v>
      </c>
    </row>
    <row r="101" spans="2:12" s="1" customFormat="1" ht="21.75">
      <c r="B101" s="388" t="s">
        <v>2572</v>
      </c>
      <c r="D101" s="1" t="s">
        <v>2538</v>
      </c>
      <c r="L101" s="177" t="s">
        <v>615</v>
      </c>
    </row>
    <row r="102" spans="2:12">
      <c r="L102" s="129"/>
    </row>
    <row r="103" spans="2:12" ht="26.25">
      <c r="L103" s="438" t="s">
        <v>2548</v>
      </c>
    </row>
    <row r="104" spans="2:12" ht="26.25">
      <c r="C104" t="s">
        <v>2539</v>
      </c>
      <c r="L104" s="438" t="s">
        <v>2553</v>
      </c>
    </row>
    <row r="106" spans="2:12">
      <c r="L106" t="s">
        <v>2547</v>
      </c>
    </row>
    <row r="108" spans="2:12">
      <c r="B108" s="90" t="s">
        <v>2582</v>
      </c>
    </row>
    <row r="110" spans="2:12" ht="21.75">
      <c r="B110" s="177" t="s">
        <v>2583</v>
      </c>
    </row>
    <row r="111" spans="2:12">
      <c r="B111" s="129"/>
    </row>
    <row r="112" spans="2:12">
      <c r="B112" s="150" t="s">
        <v>2584</v>
      </c>
    </row>
    <row r="113" spans="2:2">
      <c r="B113" s="150" t="s">
        <v>2585</v>
      </c>
    </row>
    <row r="115" spans="2:2" ht="21.75">
      <c r="B115" s="177" t="s">
        <v>2586</v>
      </c>
    </row>
    <row r="116" spans="2:2">
      <c r="B116" s="129"/>
    </row>
    <row r="117" spans="2:2">
      <c r="B117" s="150" t="s">
        <v>2587</v>
      </c>
    </row>
    <row r="118" spans="2:2">
      <c r="B118" s="150" t="s">
        <v>2588</v>
      </c>
    </row>
    <row r="120" spans="2:2" ht="21.75">
      <c r="B120" s="177" t="s">
        <v>2589</v>
      </c>
    </row>
    <row r="121" spans="2:2">
      <c r="B121" s="129"/>
    </row>
    <row r="122" spans="2:2">
      <c r="B122" s="150" t="s">
        <v>2590</v>
      </c>
    </row>
    <row r="123" spans="2:2">
      <c r="B123" s="150" t="s">
        <v>2591</v>
      </c>
    </row>
    <row r="125" spans="2:2">
      <c r="B125" t="s">
        <v>2592</v>
      </c>
    </row>
    <row r="135" spans="2:12" s="175" customFormat="1" ht="31.5">
      <c r="B135" s="175" t="s">
        <v>2531</v>
      </c>
    </row>
    <row r="138" spans="2:12" ht="31.5">
      <c r="L138" s="351" t="s">
        <v>2566</v>
      </c>
    </row>
    <row r="142" spans="2:12" ht="26.25">
      <c r="L142" s="439" t="s">
        <v>2567</v>
      </c>
    </row>
    <row r="143" spans="2:12" ht="26.25">
      <c r="L143" s="440" t="s">
        <v>2568</v>
      </c>
    </row>
    <row r="188" spans="2:2" s="1" customFormat="1" ht="20.25">
      <c r="B188" s="388" t="s">
        <v>2532</v>
      </c>
    </row>
    <row r="221" spans="2:2" s="1" customFormat="1" ht="17.25">
      <c r="B221" s="442" t="s">
        <v>2533</v>
      </c>
    </row>
    <row r="265" spans="2:2" s="1" customFormat="1">
      <c r="B265" s="1" t="s">
        <v>2534</v>
      </c>
    </row>
    <row r="310" spans="2:2" s="1" customFormat="1">
      <c r="B310" s="1" t="s">
        <v>2535</v>
      </c>
    </row>
    <row r="344" spans="2:2" s="1" customFormat="1">
      <c r="B344" s="1" t="s">
        <v>2536</v>
      </c>
    </row>
    <row r="399" spans="2:2" s="1" customFormat="1">
      <c r="B399" s="1" t="s">
        <v>2549</v>
      </c>
    </row>
  </sheetData>
  <mergeCells count="13">
    <mergeCell ref="C28:D28"/>
    <mergeCell ref="J23:K23"/>
    <mergeCell ref="J24:K24"/>
    <mergeCell ref="J25:K25"/>
    <mergeCell ref="J26:K26"/>
    <mergeCell ref="J27:K27"/>
    <mergeCell ref="J28:K28"/>
    <mergeCell ref="C27:D27"/>
    <mergeCell ref="C22:D22"/>
    <mergeCell ref="C23:D23"/>
    <mergeCell ref="C24:D24"/>
    <mergeCell ref="C25:D25"/>
    <mergeCell ref="C26:D26"/>
  </mergeCells>
  <phoneticPr fontId="5" type="noConversion"/>
  <hyperlinks>
    <hyperlink ref="J21" r:id="rId1" location="gid=1130773706" xr:uid="{00000000-0004-0000-1C00-000000000000}"/>
    <hyperlink ref="AF93" r:id="rId2" location="slide=id.g317daab7ae2_1_1038" xr:uid="{00000000-0004-0000-1C00-000001000000}"/>
  </hyperlinks>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4:R20"/>
  <sheetViews>
    <sheetView topLeftCell="A4" workbookViewId="0">
      <selection activeCell="O10" sqref="O10"/>
    </sheetView>
  </sheetViews>
  <sheetFormatPr defaultRowHeight="16.5"/>
  <cols>
    <col min="7" max="7" width="19.125" customWidth="1"/>
    <col min="9" max="9" width="19.125" customWidth="1"/>
  </cols>
  <sheetData>
    <row r="4" spans="2:18" s="1" customFormat="1">
      <c r="B4" s="1" t="s">
        <v>1458</v>
      </c>
      <c r="M4" s="1" t="s">
        <v>1480</v>
      </c>
    </row>
    <row r="5" spans="2:18">
      <c r="R5" t="s">
        <v>1484</v>
      </c>
    </row>
    <row r="6" spans="2:18">
      <c r="B6" t="s">
        <v>1459</v>
      </c>
      <c r="D6" t="s">
        <v>1460</v>
      </c>
      <c r="F6" s="518" t="s">
        <v>1468</v>
      </c>
      <c r="G6" s="296"/>
    </row>
    <row r="7" spans="2:18">
      <c r="F7" s="518"/>
      <c r="G7" s="296"/>
      <c r="M7" t="s">
        <v>1481</v>
      </c>
      <c r="N7" t="s">
        <v>1482</v>
      </c>
    </row>
    <row r="8" spans="2:18">
      <c r="F8" s="518"/>
      <c r="G8" s="296"/>
    </row>
    <row r="9" spans="2:18">
      <c r="B9" t="s">
        <v>1470</v>
      </c>
      <c r="D9" s="2" t="s">
        <v>1466</v>
      </c>
      <c r="F9" s="518"/>
      <c r="G9" s="296" t="s">
        <v>1469</v>
      </c>
      <c r="I9" t="s">
        <v>1461</v>
      </c>
      <c r="J9" t="s">
        <v>1462</v>
      </c>
      <c r="M9" t="s">
        <v>1483</v>
      </c>
      <c r="R9" t="s">
        <v>1485</v>
      </c>
    </row>
    <row r="10" spans="2:18">
      <c r="F10" s="518"/>
      <c r="G10" s="296" t="s">
        <v>1470</v>
      </c>
      <c r="R10" t="s">
        <v>1486</v>
      </c>
    </row>
    <row r="11" spans="2:18">
      <c r="F11" s="518"/>
      <c r="G11" s="296"/>
      <c r="I11" t="s">
        <v>1463</v>
      </c>
      <c r="R11" t="s">
        <v>1487</v>
      </c>
    </row>
    <row r="12" spans="2:18">
      <c r="F12" s="518"/>
      <c r="G12" s="296"/>
      <c r="I12" t="s">
        <v>1464</v>
      </c>
      <c r="R12" t="s">
        <v>1488</v>
      </c>
    </row>
    <row r="13" spans="2:18">
      <c r="B13" t="s">
        <v>1465</v>
      </c>
      <c r="D13" t="s">
        <v>1467</v>
      </c>
      <c r="F13" s="518"/>
      <c r="G13" s="296"/>
    </row>
    <row r="18" spans="2:2" s="1" customFormat="1">
      <c r="B18" s="1" t="s">
        <v>1472</v>
      </c>
    </row>
    <row r="20" spans="2:2">
      <c r="B20" t="s">
        <v>1471</v>
      </c>
    </row>
  </sheetData>
  <mergeCells count="1">
    <mergeCell ref="F6:F13"/>
  </mergeCells>
  <phoneticPr fontId="5" type="noConversion"/>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W175"/>
  <sheetViews>
    <sheetView topLeftCell="A152" zoomScale="115" zoomScaleNormal="115" workbookViewId="0">
      <selection activeCell="B171" sqref="B171"/>
    </sheetView>
  </sheetViews>
  <sheetFormatPr defaultRowHeight="16.5"/>
  <cols>
    <col min="5" max="5" width="9.5" bestFit="1" customWidth="1"/>
  </cols>
  <sheetData>
    <row r="1" spans="1:15">
      <c r="B1" s="90" t="s">
        <v>381</v>
      </c>
    </row>
    <row r="2" spans="1:15">
      <c r="I2" s="122" t="s">
        <v>335</v>
      </c>
      <c r="O2" s="128" t="s">
        <v>370</v>
      </c>
    </row>
    <row r="3" spans="1:15">
      <c r="I3" s="122" t="s">
        <v>336</v>
      </c>
    </row>
    <row r="4" spans="1:15">
      <c r="I4" s="122" t="s">
        <v>456</v>
      </c>
    </row>
    <row r="5" spans="1:15">
      <c r="I5" s="122" t="s">
        <v>457</v>
      </c>
    </row>
    <row r="6" spans="1:15">
      <c r="I6" s="122" t="s">
        <v>337</v>
      </c>
    </row>
    <row r="8" spans="1:15">
      <c r="J8" t="s">
        <v>338</v>
      </c>
    </row>
    <row r="9" spans="1:15">
      <c r="I9" s="125" t="s">
        <v>344</v>
      </c>
      <c r="J9" s="1"/>
      <c r="L9" s="82" t="s">
        <v>345</v>
      </c>
    </row>
    <row r="10" spans="1:15">
      <c r="J10" s="1"/>
    </row>
    <row r="11" spans="1:15" ht="18">
      <c r="H11" s="124" t="s">
        <v>339</v>
      </c>
      <c r="J11" s="1"/>
      <c r="L11" s="126" t="s">
        <v>348</v>
      </c>
    </row>
    <row r="12" spans="1:15">
      <c r="H12" s="82"/>
      <c r="J12" s="1"/>
    </row>
    <row r="13" spans="1:15" ht="18">
      <c r="B13" s="82" t="s">
        <v>356</v>
      </c>
      <c r="C13" s="82" t="s">
        <v>357</v>
      </c>
      <c r="D13" s="82"/>
      <c r="E13" s="82" t="s">
        <v>360</v>
      </c>
      <c r="H13" s="124" t="s">
        <v>340</v>
      </c>
      <c r="J13" s="1"/>
    </row>
    <row r="14" spans="1:15">
      <c r="B14" s="89" t="s">
        <v>354</v>
      </c>
      <c r="C14" s="89" t="s">
        <v>355</v>
      </c>
      <c r="D14" s="89" t="s">
        <v>358</v>
      </c>
      <c r="E14" s="89" t="s">
        <v>359</v>
      </c>
      <c r="H14" s="82"/>
      <c r="J14" s="1"/>
    </row>
    <row r="15" spans="1:15">
      <c r="A15" t="s">
        <v>353</v>
      </c>
      <c r="H15" s="82"/>
      <c r="J15" s="1"/>
    </row>
    <row r="16" spans="1:15">
      <c r="A16" t="s">
        <v>361</v>
      </c>
      <c r="H16" s="124"/>
      <c r="J16" s="1"/>
      <c r="N16" t="s">
        <v>347</v>
      </c>
    </row>
    <row r="17" spans="1:23">
      <c r="A17" t="s">
        <v>362</v>
      </c>
      <c r="H17" s="82"/>
      <c r="J17" s="1"/>
      <c r="W17" s="220" t="s">
        <v>726</v>
      </c>
    </row>
    <row r="18" spans="1:23">
      <c r="H18" s="82"/>
      <c r="J18" s="1"/>
      <c r="N18" s="518" t="s">
        <v>349</v>
      </c>
      <c r="O18" t="s">
        <v>351</v>
      </c>
      <c r="P18" t="s">
        <v>352</v>
      </c>
    </row>
    <row r="19" spans="1:23" ht="21.75">
      <c r="H19" s="124" t="s">
        <v>341</v>
      </c>
      <c r="J19" s="1"/>
      <c r="N19" s="518"/>
      <c r="O19" s="123" t="s">
        <v>350</v>
      </c>
      <c r="W19" s="177" t="s">
        <v>727</v>
      </c>
    </row>
    <row r="20" spans="1:23">
      <c r="J20" s="1"/>
      <c r="W20" s="129"/>
    </row>
    <row r="21" spans="1:23">
      <c r="J21" s="1"/>
      <c r="W21" s="150" t="s">
        <v>728</v>
      </c>
    </row>
    <row r="22" spans="1:23">
      <c r="J22" s="1"/>
      <c r="W22" s="150" t="s">
        <v>729</v>
      </c>
    </row>
    <row r="23" spans="1:23">
      <c r="A23" t="s">
        <v>363</v>
      </c>
      <c r="J23" s="1"/>
      <c r="W23" s="150" t="s">
        <v>593</v>
      </c>
    </row>
    <row r="24" spans="1:23">
      <c r="H24" s="82" t="s">
        <v>343</v>
      </c>
      <c r="I24" s="82"/>
      <c r="J24" s="82" t="s">
        <v>342</v>
      </c>
      <c r="K24" t="s">
        <v>346</v>
      </c>
      <c r="W24" s="84"/>
    </row>
    <row r="25" spans="1:23">
      <c r="W25" s="221" t="s">
        <v>730</v>
      </c>
    </row>
    <row r="26" spans="1:23">
      <c r="W26" s="221" t="s">
        <v>731</v>
      </c>
    </row>
    <row r="27" spans="1:23">
      <c r="H27" s="2" t="s">
        <v>366</v>
      </c>
      <c r="I27">
        <f>16*30</f>
        <v>480</v>
      </c>
      <c r="K27" t="s">
        <v>368</v>
      </c>
      <c r="L27">
        <f>30*1</f>
        <v>30</v>
      </c>
      <c r="W27" s="221" t="s">
        <v>732</v>
      </c>
    </row>
    <row r="28" spans="1:23">
      <c r="H28" t="s">
        <v>367</v>
      </c>
      <c r="I28">
        <f>1*30</f>
        <v>30</v>
      </c>
      <c r="K28" t="s">
        <v>369</v>
      </c>
      <c r="L28">
        <v>1</v>
      </c>
      <c r="W28" s="221" t="s">
        <v>733</v>
      </c>
    </row>
    <row r="29" spans="1:23">
      <c r="I29">
        <f>I27+I28</f>
        <v>510</v>
      </c>
      <c r="L29">
        <f>L27+L28</f>
        <v>31</v>
      </c>
      <c r="M29" s="127">
        <f>I29+L29</f>
        <v>541</v>
      </c>
      <c r="U29" s="127" t="s">
        <v>725</v>
      </c>
    </row>
    <row r="30" spans="1:23" ht="21.75">
      <c r="W30" s="177" t="s">
        <v>734</v>
      </c>
    </row>
    <row r="31" spans="1:23">
      <c r="F31" t="s">
        <v>364</v>
      </c>
      <c r="G31">
        <f>470/32</f>
        <v>14.6875</v>
      </c>
      <c r="H31" t="s">
        <v>365</v>
      </c>
      <c r="W31" s="129"/>
    </row>
    <row r="32" spans="1:23">
      <c r="W32" s="150" t="s">
        <v>735</v>
      </c>
    </row>
    <row r="33" spans="2:23">
      <c r="W33" s="150" t="s">
        <v>736</v>
      </c>
    </row>
    <row r="34" spans="2:23">
      <c r="W34" s="150" t="s">
        <v>593</v>
      </c>
    </row>
    <row r="35" spans="2:23">
      <c r="W35" s="84"/>
    </row>
    <row r="36" spans="2:23">
      <c r="W36" s="221" t="s">
        <v>730</v>
      </c>
    </row>
    <row r="37" spans="2:23">
      <c r="W37" s="221" t="s">
        <v>731</v>
      </c>
    </row>
    <row r="38" spans="2:23">
      <c r="W38" s="221" t="s">
        <v>737</v>
      </c>
    </row>
    <row r="39" spans="2:23">
      <c r="W39" s="221" t="s">
        <v>733</v>
      </c>
    </row>
    <row r="41" spans="2:23" ht="21.75">
      <c r="W41" s="177" t="s">
        <v>738</v>
      </c>
    </row>
    <row r="42" spans="2:23">
      <c r="W42" s="129"/>
    </row>
    <row r="43" spans="2:23">
      <c r="W43" s="150" t="s">
        <v>739</v>
      </c>
    </row>
    <row r="44" spans="2:23">
      <c r="W44" s="129"/>
    </row>
    <row r="45" spans="2:23">
      <c r="W45" s="129"/>
    </row>
    <row r="46" spans="2:23">
      <c r="W46" s="222" t="s">
        <v>740</v>
      </c>
    </row>
    <row r="47" spans="2:23">
      <c r="W47" s="222" t="s">
        <v>741</v>
      </c>
    </row>
    <row r="48" spans="2:23" s="1" customFormat="1">
      <c r="B48" s="1" t="s">
        <v>371</v>
      </c>
      <c r="W48" s="129"/>
    </row>
    <row r="49" spans="2:23">
      <c r="W49" s="150" t="s">
        <v>742</v>
      </c>
    </row>
    <row r="50" spans="2:23">
      <c r="B50" t="s">
        <v>372</v>
      </c>
      <c r="W50" s="129"/>
    </row>
    <row r="51" spans="2:23">
      <c r="W51" s="129"/>
    </row>
    <row r="52" spans="2:23">
      <c r="B52" t="s">
        <v>373</v>
      </c>
      <c r="W52" s="222" t="s">
        <v>743</v>
      </c>
    </row>
    <row r="53" spans="2:23">
      <c r="W53" s="222" t="s">
        <v>744</v>
      </c>
    </row>
    <row r="54" spans="2:23">
      <c r="B54" t="s">
        <v>377</v>
      </c>
    </row>
    <row r="55" spans="2:23" ht="21.75">
      <c r="W55" s="177" t="s">
        <v>745</v>
      </c>
    </row>
    <row r="56" spans="2:23">
      <c r="B56" t="s">
        <v>374</v>
      </c>
      <c r="W56" s="129"/>
    </row>
    <row r="57" spans="2:23">
      <c r="B57" s="129"/>
      <c r="W57" s="129" t="s">
        <v>746</v>
      </c>
    </row>
    <row r="58" spans="2:23">
      <c r="B58" s="129" t="s">
        <v>375</v>
      </c>
      <c r="W58" s="129" t="s">
        <v>747</v>
      </c>
    </row>
    <row r="59" spans="2:23">
      <c r="B59" s="129" t="s">
        <v>378</v>
      </c>
    </row>
    <row r="60" spans="2:23" ht="21.75">
      <c r="B60" s="129" t="s">
        <v>379</v>
      </c>
      <c r="W60" s="177" t="s">
        <v>748</v>
      </c>
    </row>
    <row r="61" spans="2:23">
      <c r="W61" s="129"/>
    </row>
    <row r="62" spans="2:23">
      <c r="B62" t="s">
        <v>376</v>
      </c>
      <c r="W62" s="150" t="s">
        <v>749</v>
      </c>
    </row>
    <row r="63" spans="2:23">
      <c r="W63" s="150" t="s">
        <v>750</v>
      </c>
    </row>
    <row r="64" spans="2:23">
      <c r="B64" t="s">
        <v>380</v>
      </c>
      <c r="D64">
        <v>541</v>
      </c>
      <c r="E64">
        <v>1084</v>
      </c>
      <c r="F64" s="127">
        <f>D64+E64</f>
        <v>1625</v>
      </c>
    </row>
    <row r="67" spans="2:2" s="1" customFormat="1">
      <c r="B67" s="1" t="s">
        <v>395</v>
      </c>
    </row>
    <row r="69" spans="2:2">
      <c r="B69" t="s">
        <v>396</v>
      </c>
    </row>
    <row r="126" spans="2:2" s="1" customFormat="1">
      <c r="B126" s="1" t="s">
        <v>1765</v>
      </c>
    </row>
    <row r="146" spans="1:17">
      <c r="A146" s="1"/>
      <c r="B146" s="339" t="s">
        <v>1766</v>
      </c>
      <c r="C146" s="1"/>
      <c r="D146" s="1"/>
      <c r="E146" s="1"/>
      <c r="F146" s="1"/>
      <c r="G146" s="1"/>
      <c r="H146" s="1"/>
      <c r="I146" s="1"/>
      <c r="J146" s="1"/>
      <c r="K146" s="1"/>
      <c r="L146" s="1"/>
      <c r="M146" s="1"/>
      <c r="N146" s="1"/>
      <c r="O146" s="1"/>
      <c r="P146" s="1"/>
      <c r="Q146" s="1"/>
    </row>
    <row r="147" spans="1:17">
      <c r="B147" s="332"/>
    </row>
    <row r="148" spans="1:17">
      <c r="B148" s="333" t="s">
        <v>1767</v>
      </c>
    </row>
    <row r="149" spans="1:17">
      <c r="B149" s="331" t="s">
        <v>1768</v>
      </c>
    </row>
    <row r="150" spans="1:17" ht="30">
      <c r="B150" s="334" t="s">
        <v>1769</v>
      </c>
    </row>
    <row r="151" spans="1:17">
      <c r="B151" s="335" t="s">
        <v>1770</v>
      </c>
    </row>
    <row r="152" spans="1:17">
      <c r="B152" s="331" t="s">
        <v>1771</v>
      </c>
    </row>
    <row r="153" spans="1:17">
      <c r="B153" s="332"/>
    </row>
    <row r="154" spans="1:17" ht="30">
      <c r="B154" s="333" t="s">
        <v>1772</v>
      </c>
    </row>
    <row r="155" spans="1:17">
      <c r="B155" s="331" t="s">
        <v>1773</v>
      </c>
    </row>
    <row r="156" spans="1:17" ht="30">
      <c r="B156" s="334" t="s">
        <v>1769</v>
      </c>
    </row>
    <row r="157" spans="1:17">
      <c r="B157" s="335" t="s">
        <v>1774</v>
      </c>
    </row>
    <row r="158" spans="1:17">
      <c r="B158" s="331" t="s">
        <v>1775</v>
      </c>
    </row>
    <row r="159" spans="1:17">
      <c r="B159" s="331" t="s">
        <v>1776</v>
      </c>
    </row>
    <row r="160" spans="1:17">
      <c r="B160" s="331" t="s">
        <v>1777</v>
      </c>
    </row>
    <row r="161" spans="2:2">
      <c r="B161" s="332"/>
    </row>
    <row r="162" spans="2:2">
      <c r="B162" s="336" t="s">
        <v>1778</v>
      </c>
    </row>
    <row r="163" spans="2:2">
      <c r="B163" s="331" t="s">
        <v>1779</v>
      </c>
    </row>
    <row r="164" spans="2:2" ht="30">
      <c r="B164" s="334" t="s">
        <v>1769</v>
      </c>
    </row>
    <row r="165" spans="2:2">
      <c r="B165" s="335" t="s">
        <v>1780</v>
      </c>
    </row>
    <row r="166" spans="2:2">
      <c r="B166" s="331" t="s">
        <v>1781</v>
      </c>
    </row>
    <row r="167" spans="2:2">
      <c r="B167" s="331" t="s">
        <v>1782</v>
      </c>
    </row>
    <row r="168" spans="2:2">
      <c r="B168" s="331" t="s">
        <v>1783</v>
      </c>
    </row>
    <row r="169" spans="2:2">
      <c r="B169" s="337" t="s">
        <v>1784</v>
      </c>
    </row>
    <row r="170" spans="2:2">
      <c r="B170" s="331" t="s">
        <v>1785</v>
      </c>
    </row>
    <row r="171" spans="2:2">
      <c r="B171" s="331" t="s">
        <v>1786</v>
      </c>
    </row>
    <row r="172" spans="2:2">
      <c r="B172" s="331" t="s">
        <v>1787</v>
      </c>
    </row>
    <row r="173" spans="2:2">
      <c r="B173" s="331" t="s">
        <v>1788</v>
      </c>
    </row>
    <row r="174" spans="2:2">
      <c r="B174" s="332"/>
    </row>
    <row r="175" spans="2:2">
      <c r="B175" s="338" t="s">
        <v>1789</v>
      </c>
    </row>
  </sheetData>
  <mergeCells count="1">
    <mergeCell ref="N18:N19"/>
  </mergeCells>
  <phoneticPr fontId="5" type="noConversion"/>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S64"/>
  <sheetViews>
    <sheetView zoomScale="85" zoomScaleNormal="85" workbookViewId="0">
      <selection activeCell="J8" sqref="J8"/>
    </sheetView>
  </sheetViews>
  <sheetFormatPr defaultRowHeight="16.5"/>
  <cols>
    <col min="5" max="5" width="9.5" bestFit="1" customWidth="1"/>
    <col min="15" max="15" width="9" style="119"/>
  </cols>
  <sheetData>
    <row r="1" spans="1:18">
      <c r="B1" s="90" t="s">
        <v>1790</v>
      </c>
    </row>
    <row r="2" spans="1:18">
      <c r="I2" s="122" t="s">
        <v>335</v>
      </c>
      <c r="R2" s="128" t="s">
        <v>370</v>
      </c>
    </row>
    <row r="3" spans="1:18">
      <c r="I3" s="122" t="s">
        <v>388</v>
      </c>
    </row>
    <row r="4" spans="1:18">
      <c r="I4" s="122" t="s">
        <v>454</v>
      </c>
    </row>
    <row r="5" spans="1:18">
      <c r="I5" s="122" t="s">
        <v>450</v>
      </c>
    </row>
    <row r="6" spans="1:18">
      <c r="I6" s="122" t="s">
        <v>337</v>
      </c>
    </row>
    <row r="8" spans="1:18">
      <c r="J8" t="s">
        <v>389</v>
      </c>
    </row>
    <row r="9" spans="1:18">
      <c r="I9" s="125" t="s">
        <v>344</v>
      </c>
      <c r="J9" s="1"/>
      <c r="M9" s="329"/>
      <c r="N9" s="329"/>
      <c r="O9" s="330"/>
    </row>
    <row r="10" spans="1:18">
      <c r="J10" s="1"/>
      <c r="K10" s="329" t="s">
        <v>345</v>
      </c>
      <c r="L10" t="s">
        <v>390</v>
      </c>
      <c r="N10" t="s">
        <v>391</v>
      </c>
    </row>
    <row r="11" spans="1:18" ht="18">
      <c r="H11" s="124" t="s">
        <v>339</v>
      </c>
      <c r="J11" s="1"/>
      <c r="L11" s="1"/>
      <c r="M11" s="126" t="s">
        <v>348</v>
      </c>
      <c r="N11" s="1"/>
    </row>
    <row r="12" spans="1:18">
      <c r="H12" s="329"/>
      <c r="J12" s="1"/>
      <c r="L12" s="1"/>
      <c r="N12" s="1"/>
    </row>
    <row r="13" spans="1:18" ht="18">
      <c r="B13" s="329" t="s">
        <v>257</v>
      </c>
      <c r="C13" s="329" t="s">
        <v>246</v>
      </c>
      <c r="D13" s="329"/>
      <c r="E13" s="329" t="s">
        <v>1791</v>
      </c>
      <c r="H13" s="124" t="s">
        <v>340</v>
      </c>
      <c r="J13" s="1"/>
      <c r="L13" s="1"/>
      <c r="M13" s="329" t="s">
        <v>392</v>
      </c>
      <c r="N13" s="1"/>
      <c r="O13" s="329" t="s">
        <v>1797</v>
      </c>
      <c r="P13" t="s">
        <v>1796</v>
      </c>
    </row>
    <row r="14" spans="1:18">
      <c r="B14" s="89" t="s">
        <v>354</v>
      </c>
      <c r="C14" s="89" t="s">
        <v>355</v>
      </c>
      <c r="D14" s="89" t="s">
        <v>358</v>
      </c>
      <c r="E14" s="89" t="s">
        <v>1792</v>
      </c>
      <c r="H14" s="329"/>
      <c r="J14" s="1"/>
      <c r="L14" s="1"/>
      <c r="N14" s="1"/>
      <c r="P14" s="1"/>
    </row>
    <row r="15" spans="1:18">
      <c r="A15" t="s">
        <v>248</v>
      </c>
      <c r="H15" s="329"/>
      <c r="J15" s="1"/>
      <c r="L15" s="1"/>
      <c r="N15" s="1"/>
      <c r="P15" s="1"/>
    </row>
    <row r="16" spans="1:18">
      <c r="A16" t="s">
        <v>361</v>
      </c>
      <c r="H16" s="124"/>
      <c r="J16" s="1"/>
      <c r="L16" s="1"/>
      <c r="N16" s="1"/>
      <c r="P16" s="1"/>
    </row>
    <row r="17" spans="1:19">
      <c r="A17" t="s">
        <v>362</v>
      </c>
      <c r="H17" s="329"/>
      <c r="J17" s="1"/>
      <c r="L17" s="1"/>
      <c r="N17" s="1"/>
    </row>
    <row r="18" spans="1:19">
      <c r="H18" s="329"/>
      <c r="J18" s="1"/>
      <c r="L18" s="1"/>
      <c r="N18" s="1"/>
      <c r="Q18" s="518" t="s">
        <v>349</v>
      </c>
      <c r="R18" t="s">
        <v>351</v>
      </c>
      <c r="S18" t="s">
        <v>1798</v>
      </c>
    </row>
    <row r="19" spans="1:19">
      <c r="H19" s="124" t="s">
        <v>1794</v>
      </c>
      <c r="J19" s="1"/>
      <c r="L19" s="1"/>
      <c r="N19" s="1"/>
      <c r="Q19" s="518"/>
      <c r="R19" s="119"/>
    </row>
    <row r="20" spans="1:19">
      <c r="J20" s="1"/>
      <c r="L20" s="1"/>
      <c r="N20" s="1"/>
    </row>
    <row r="21" spans="1:19">
      <c r="J21" s="1"/>
      <c r="L21" s="329">
        <v>30</v>
      </c>
      <c r="M21" t="s">
        <v>346</v>
      </c>
      <c r="N21" s="329">
        <v>40</v>
      </c>
      <c r="O21" t="s">
        <v>346</v>
      </c>
    </row>
    <row r="22" spans="1:19">
      <c r="J22" s="1"/>
    </row>
    <row r="23" spans="1:19">
      <c r="A23" t="s">
        <v>1793</v>
      </c>
      <c r="J23" s="1"/>
    </row>
    <row r="24" spans="1:19">
      <c r="H24" s="329" t="s">
        <v>1795</v>
      </c>
      <c r="I24" s="329"/>
      <c r="J24" s="329">
        <v>10</v>
      </c>
      <c r="K24" t="s">
        <v>346</v>
      </c>
    </row>
    <row r="27" spans="1:19">
      <c r="H27" s="2"/>
      <c r="I27">
        <f>5*10+10</f>
        <v>60</v>
      </c>
      <c r="K27">
        <f>J24*L21+L21</f>
        <v>330</v>
      </c>
      <c r="M27">
        <f>L21*N21+N21</f>
        <v>1240</v>
      </c>
      <c r="O27" s="119">
        <f>N21*1+1</f>
        <v>41</v>
      </c>
    </row>
    <row r="28" spans="1:19">
      <c r="Q28" s="130"/>
    </row>
    <row r="29" spans="1:19">
      <c r="P29" s="127"/>
    </row>
    <row r="36" spans="9:15">
      <c r="I36" t="s">
        <v>394</v>
      </c>
      <c r="L36" s="127">
        <f>I27+K27+M27+O27</f>
        <v>1671</v>
      </c>
    </row>
    <row r="48" spans="9:15" s="1" customFormat="1">
      <c r="O48" s="119"/>
    </row>
    <row r="57" spans="2:6">
      <c r="B57" s="129"/>
    </row>
    <row r="58" spans="2:6">
      <c r="B58" s="129"/>
    </row>
    <row r="59" spans="2:6">
      <c r="B59" s="129"/>
    </row>
    <row r="60" spans="2:6">
      <c r="B60" s="129"/>
    </row>
    <row r="64" spans="2:6">
      <c r="F64" s="127"/>
    </row>
  </sheetData>
  <mergeCells count="1">
    <mergeCell ref="Q18:Q19"/>
  </mergeCells>
  <phoneticPr fontId="5" type="noConversion"/>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1:Q64"/>
  <sheetViews>
    <sheetView topLeftCell="F1" zoomScaleNormal="100" workbookViewId="0">
      <selection activeCell="P13" sqref="P13"/>
    </sheetView>
  </sheetViews>
  <sheetFormatPr defaultRowHeight="16.5"/>
  <cols>
    <col min="5" max="5" width="9.5" bestFit="1" customWidth="1"/>
  </cols>
  <sheetData>
    <row r="1" spans="1:16">
      <c r="B1" s="90" t="s">
        <v>382</v>
      </c>
    </row>
    <row r="2" spans="1:16">
      <c r="I2" s="122" t="s">
        <v>335</v>
      </c>
      <c r="P2" s="128" t="s">
        <v>370</v>
      </c>
    </row>
    <row r="3" spans="1:16">
      <c r="I3" s="122" t="s">
        <v>388</v>
      </c>
    </row>
    <row r="4" spans="1:16">
      <c r="I4" s="122" t="s">
        <v>454</v>
      </c>
    </row>
    <row r="5" spans="1:16">
      <c r="I5" s="122" t="s">
        <v>455</v>
      </c>
    </row>
    <row r="6" spans="1:16">
      <c r="I6" s="122" t="s">
        <v>337</v>
      </c>
    </row>
    <row r="8" spans="1:16">
      <c r="J8" t="s">
        <v>389</v>
      </c>
    </row>
    <row r="9" spans="1:16">
      <c r="I9" s="125" t="s">
        <v>344</v>
      </c>
      <c r="J9" s="1"/>
      <c r="M9" s="82"/>
    </row>
    <row r="10" spans="1:16">
      <c r="J10" s="1"/>
      <c r="K10" s="82" t="s">
        <v>345</v>
      </c>
      <c r="L10" t="s">
        <v>390</v>
      </c>
    </row>
    <row r="11" spans="1:16" ht="18">
      <c r="H11" s="124" t="s">
        <v>339</v>
      </c>
      <c r="J11" s="1"/>
      <c r="L11" s="1"/>
      <c r="M11" s="126" t="s">
        <v>348</v>
      </c>
    </row>
    <row r="12" spans="1:16">
      <c r="H12" s="82"/>
      <c r="J12" s="1"/>
      <c r="L12" s="1"/>
    </row>
    <row r="13" spans="1:16" ht="18">
      <c r="B13" s="82" t="s">
        <v>356</v>
      </c>
      <c r="C13" s="82" t="s">
        <v>357</v>
      </c>
      <c r="D13" s="82"/>
      <c r="E13" s="82" t="s">
        <v>383</v>
      </c>
      <c r="H13" s="124" t="s">
        <v>340</v>
      </c>
      <c r="J13" s="1"/>
      <c r="L13" s="1"/>
      <c r="M13" s="82" t="s">
        <v>392</v>
      </c>
      <c r="N13" t="s">
        <v>391</v>
      </c>
    </row>
    <row r="14" spans="1:16">
      <c r="B14" s="89" t="s">
        <v>354</v>
      </c>
      <c r="C14" s="89" t="s">
        <v>355</v>
      </c>
      <c r="D14" s="89" t="s">
        <v>358</v>
      </c>
      <c r="E14" s="89" t="s">
        <v>385</v>
      </c>
      <c r="H14" s="82"/>
      <c r="J14" s="1"/>
      <c r="L14" s="1"/>
      <c r="N14" s="1"/>
    </row>
    <row r="15" spans="1:16">
      <c r="A15" t="s">
        <v>353</v>
      </c>
      <c r="H15" s="82"/>
      <c r="J15" s="1"/>
      <c r="L15" s="1"/>
      <c r="N15" s="1"/>
    </row>
    <row r="16" spans="1:16">
      <c r="A16" t="s">
        <v>361</v>
      </c>
      <c r="H16" s="124"/>
      <c r="J16" s="1"/>
      <c r="L16" s="1"/>
      <c r="N16" s="1"/>
      <c r="O16" t="s">
        <v>347</v>
      </c>
    </row>
    <row r="17" spans="1:17">
      <c r="A17" t="s">
        <v>362</v>
      </c>
      <c r="H17" s="82"/>
      <c r="J17" s="1"/>
      <c r="L17" s="1"/>
    </row>
    <row r="18" spans="1:17">
      <c r="H18" s="82"/>
      <c r="J18" s="1"/>
      <c r="L18" s="1"/>
      <c r="O18" s="518" t="s">
        <v>349</v>
      </c>
      <c r="P18" t="s">
        <v>351</v>
      </c>
      <c r="Q18" t="s">
        <v>352</v>
      </c>
    </row>
    <row r="19" spans="1:17">
      <c r="H19" s="124" t="s">
        <v>386</v>
      </c>
      <c r="J19" s="1"/>
      <c r="L19" s="1"/>
      <c r="O19" s="518"/>
      <c r="P19" s="123" t="s">
        <v>350</v>
      </c>
    </row>
    <row r="20" spans="1:17">
      <c r="J20" s="1"/>
      <c r="L20" s="1"/>
    </row>
    <row r="21" spans="1:17">
      <c r="J21" s="1"/>
      <c r="L21" s="82">
        <v>8</v>
      </c>
      <c r="M21" t="s">
        <v>346</v>
      </c>
    </row>
    <row r="22" spans="1:17">
      <c r="J22" s="1"/>
    </row>
    <row r="23" spans="1:17">
      <c r="A23" t="s">
        <v>384</v>
      </c>
      <c r="J23" s="1"/>
    </row>
    <row r="24" spans="1:17">
      <c r="H24" s="82" t="s">
        <v>387</v>
      </c>
      <c r="I24" s="82"/>
      <c r="J24" s="82">
        <v>12</v>
      </c>
      <c r="K24" t="s">
        <v>346</v>
      </c>
    </row>
    <row r="26" spans="1:17">
      <c r="I26">
        <f>8*12</f>
        <v>96</v>
      </c>
      <c r="K26">
        <f>12*8</f>
        <v>96</v>
      </c>
      <c r="M26">
        <f>8*1</f>
        <v>8</v>
      </c>
    </row>
    <row r="27" spans="1:17">
      <c r="H27" s="2"/>
      <c r="I27">
        <v>12</v>
      </c>
      <c r="K27">
        <f>1*8</f>
        <v>8</v>
      </c>
      <c r="M27">
        <v>1</v>
      </c>
    </row>
    <row r="28" spans="1:17">
      <c r="I28">
        <f>SUM(I26:I27)</f>
        <v>108</v>
      </c>
      <c r="K28">
        <f>SUM(K26:K27)</f>
        <v>104</v>
      </c>
      <c r="M28">
        <f>SUM(M26:M27)</f>
        <v>9</v>
      </c>
      <c r="O28" s="130">
        <f>I28+K28+M28</f>
        <v>221</v>
      </c>
    </row>
    <row r="29" spans="1:17">
      <c r="N29" s="127"/>
    </row>
    <row r="31" spans="1:17">
      <c r="J31">
        <f>221*2</f>
        <v>442</v>
      </c>
      <c r="K31">
        <v>2</v>
      </c>
    </row>
    <row r="33" spans="9:12">
      <c r="I33" t="s">
        <v>393</v>
      </c>
      <c r="L33">
        <f>J31+K31</f>
        <v>444</v>
      </c>
    </row>
    <row r="36" spans="9:12">
      <c r="I36" t="s">
        <v>394</v>
      </c>
      <c r="L36" s="127">
        <f>L33+O28</f>
        <v>665</v>
      </c>
    </row>
    <row r="48" spans="9:12" s="1" customFormat="1"/>
    <row r="57" spans="2:6">
      <c r="B57" s="129"/>
    </row>
    <row r="58" spans="2:6">
      <c r="B58" s="129"/>
    </row>
    <row r="59" spans="2:6">
      <c r="B59" s="129"/>
    </row>
    <row r="60" spans="2:6">
      <c r="B60" s="129"/>
    </row>
    <row r="64" spans="2:6">
      <c r="F64" s="127"/>
    </row>
  </sheetData>
  <mergeCells count="1">
    <mergeCell ref="O18:O19"/>
  </mergeCells>
  <phoneticPr fontId="5" type="noConversion"/>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B2:B4"/>
  <sheetViews>
    <sheetView workbookViewId="0">
      <selection activeCell="E6" sqref="E6"/>
    </sheetView>
  </sheetViews>
  <sheetFormatPr defaultRowHeight="16.5"/>
  <sheetData>
    <row r="2" spans="2:2" s="1" customFormat="1">
      <c r="B2" s="1" t="s">
        <v>398</v>
      </c>
    </row>
    <row r="4" spans="2:2">
      <c r="B4" s="131" t="s">
        <v>397</v>
      </c>
    </row>
  </sheetData>
  <phoneticPr fontId="5" type="noConversion"/>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B1:S65"/>
  <sheetViews>
    <sheetView zoomScale="115" zoomScaleNormal="115" workbookViewId="0">
      <selection activeCell="P2" sqref="P2"/>
    </sheetView>
  </sheetViews>
  <sheetFormatPr defaultRowHeight="16.5"/>
  <cols>
    <col min="5" max="5" width="9.5" bestFit="1" customWidth="1"/>
  </cols>
  <sheetData>
    <row r="1" spans="2:19">
      <c r="B1" s="90" t="s">
        <v>402</v>
      </c>
    </row>
    <row r="2" spans="2:19">
      <c r="I2" s="122" t="s">
        <v>335</v>
      </c>
      <c r="P2" s="128" t="s">
        <v>370</v>
      </c>
    </row>
    <row r="3" spans="2:19">
      <c r="I3" s="122" t="s">
        <v>399</v>
      </c>
    </row>
    <row r="4" spans="2:19">
      <c r="I4" s="122" t="s">
        <v>403</v>
      </c>
    </row>
    <row r="5" spans="2:19">
      <c r="I5" s="122" t="s">
        <v>452</v>
      </c>
    </row>
    <row r="6" spans="2:19">
      <c r="I6" s="122" t="s">
        <v>453</v>
      </c>
    </row>
    <row r="7" spans="2:19">
      <c r="I7" s="122" t="s">
        <v>337</v>
      </c>
    </row>
    <row r="9" spans="2:19">
      <c r="J9" t="s">
        <v>389</v>
      </c>
    </row>
    <row r="10" spans="2:19">
      <c r="I10" s="125" t="s">
        <v>344</v>
      </c>
      <c r="J10" s="1"/>
      <c r="M10" s="82"/>
    </row>
    <row r="11" spans="2:19">
      <c r="J11" s="1"/>
      <c r="K11" s="82" t="s">
        <v>345</v>
      </c>
      <c r="L11" t="s">
        <v>390</v>
      </c>
    </row>
    <row r="12" spans="2:19" ht="18">
      <c r="H12" s="124" t="s">
        <v>339</v>
      </c>
      <c r="J12" s="1"/>
      <c r="L12" s="1"/>
      <c r="M12" s="126" t="s">
        <v>348</v>
      </c>
    </row>
    <row r="13" spans="2:19">
      <c r="H13" s="82"/>
      <c r="J13" s="1"/>
      <c r="L13" s="1"/>
    </row>
    <row r="14" spans="2:19" ht="18">
      <c r="B14" s="82"/>
      <c r="C14" s="82"/>
      <c r="D14" s="82"/>
      <c r="E14" s="82"/>
      <c r="H14" s="124" t="s">
        <v>340</v>
      </c>
      <c r="J14" s="1"/>
      <c r="L14" s="1"/>
      <c r="M14" s="82" t="s">
        <v>392</v>
      </c>
      <c r="N14" t="s">
        <v>391</v>
      </c>
    </row>
    <row r="15" spans="2:19">
      <c r="B15" s="89"/>
      <c r="C15" s="89"/>
      <c r="D15" s="89"/>
      <c r="E15" s="89"/>
      <c r="H15" s="82"/>
      <c r="J15" s="1"/>
      <c r="L15" s="1"/>
      <c r="N15" s="1"/>
      <c r="O15" t="s">
        <v>405</v>
      </c>
      <c r="Q15">
        <v>0.7</v>
      </c>
      <c r="S15">
        <f>MAX(Q15:Q17)</f>
        <v>0.7</v>
      </c>
    </row>
    <row r="16" spans="2:19">
      <c r="H16" s="82"/>
      <c r="J16" s="1"/>
      <c r="L16" s="1"/>
      <c r="N16" s="1"/>
      <c r="O16" t="s">
        <v>406</v>
      </c>
      <c r="Q16">
        <v>0.2</v>
      </c>
    </row>
    <row r="17" spans="8:17" ht="18">
      <c r="H17" s="124" t="s">
        <v>400</v>
      </c>
      <c r="J17" s="1"/>
      <c r="L17" s="1"/>
      <c r="N17" s="1"/>
      <c r="O17" t="s">
        <v>407</v>
      </c>
      <c r="Q17">
        <v>0.1</v>
      </c>
    </row>
    <row r="18" spans="8:17">
      <c r="H18" s="82"/>
      <c r="J18" s="1"/>
      <c r="L18" s="1"/>
      <c r="O18" t="s">
        <v>404</v>
      </c>
      <c r="Q18">
        <f>SUM(Q15:Q17)</f>
        <v>0.99999999999999989</v>
      </c>
    </row>
    <row r="19" spans="8:17">
      <c r="H19" s="82"/>
      <c r="J19" s="1"/>
      <c r="L19" s="1"/>
      <c r="O19" s="518"/>
    </row>
    <row r="20" spans="8:17" ht="18">
      <c r="H20" s="124" t="s">
        <v>401</v>
      </c>
      <c r="J20" s="1"/>
      <c r="L20" s="1"/>
      <c r="O20" s="518"/>
      <c r="P20" s="123"/>
    </row>
    <row r="21" spans="8:17">
      <c r="J21" s="1"/>
      <c r="L21" s="1"/>
      <c r="O21" s="132" t="s">
        <v>427</v>
      </c>
    </row>
    <row r="22" spans="8:17">
      <c r="J22" s="1"/>
      <c r="L22" s="82"/>
    </row>
    <row r="23" spans="8:17">
      <c r="J23" s="1"/>
    </row>
    <row r="24" spans="8:17">
      <c r="J24" s="1"/>
    </row>
    <row r="25" spans="8:17">
      <c r="H25" s="82"/>
      <c r="I25" s="82"/>
      <c r="J25" s="82"/>
    </row>
    <row r="26" spans="8:17">
      <c r="I26">
        <v>4</v>
      </c>
      <c r="J26">
        <v>12</v>
      </c>
      <c r="L26">
        <v>8</v>
      </c>
      <c r="N26">
        <v>3</v>
      </c>
    </row>
    <row r="27" spans="8:17">
      <c r="J27">
        <f>I26*J26</f>
        <v>48</v>
      </c>
      <c r="L27">
        <f>J26*L26</f>
        <v>96</v>
      </c>
      <c r="N27">
        <f>L26*N26</f>
        <v>24</v>
      </c>
    </row>
    <row r="28" spans="8:17">
      <c r="H28" s="2"/>
      <c r="J28">
        <v>12</v>
      </c>
      <c r="L28">
        <v>8</v>
      </c>
      <c r="N28">
        <v>3</v>
      </c>
    </row>
    <row r="29" spans="8:17">
      <c r="J29">
        <f>SUM(J27:J28)</f>
        <v>60</v>
      </c>
      <c r="L29">
        <f>SUM(L27:L28)</f>
        <v>104</v>
      </c>
      <c r="N29">
        <f>SUM(N27:N28)</f>
        <v>27</v>
      </c>
      <c r="O29" s="130"/>
    </row>
    <row r="30" spans="8:17">
      <c r="N30" s="127"/>
    </row>
    <row r="31" spans="8:17">
      <c r="N31">
        <f>J29+L29+N29</f>
        <v>191</v>
      </c>
    </row>
    <row r="34" spans="9:12">
      <c r="I34" t="s">
        <v>393</v>
      </c>
      <c r="L34">
        <f>N31*2+2</f>
        <v>384</v>
      </c>
    </row>
    <row r="37" spans="9:12">
      <c r="I37" t="s">
        <v>394</v>
      </c>
      <c r="L37" s="127">
        <f>N31+L34</f>
        <v>575</v>
      </c>
    </row>
    <row r="49" spans="2:2" s="1" customFormat="1"/>
    <row r="58" spans="2:2">
      <c r="B58" s="129"/>
    </row>
    <row r="59" spans="2:2">
      <c r="B59" s="129"/>
    </row>
    <row r="60" spans="2:2">
      <c r="B60" s="129"/>
    </row>
    <row r="61" spans="2:2">
      <c r="B61" s="129"/>
    </row>
    <row r="65" spans="6:6">
      <c r="F65" s="127"/>
    </row>
  </sheetData>
  <mergeCells count="1">
    <mergeCell ref="O19:O20"/>
  </mergeCells>
  <phoneticPr fontId="5" type="noConversion"/>
  <pageMargins left="0.7" right="0.7" top="0.75" bottom="0.75" header="0.3" footer="0.3"/>
  <pageSetup paperSize="9"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B1:P65"/>
  <sheetViews>
    <sheetView topLeftCell="A19" zoomScale="115" zoomScaleNormal="115" workbookViewId="0">
      <selection activeCell="I6" sqref="I6"/>
    </sheetView>
  </sheetViews>
  <sheetFormatPr defaultRowHeight="16.5"/>
  <cols>
    <col min="5" max="5" width="9.5" bestFit="1" customWidth="1"/>
  </cols>
  <sheetData>
    <row r="1" spans="2:16">
      <c r="B1" s="90" t="s">
        <v>435</v>
      </c>
    </row>
    <row r="2" spans="2:16">
      <c r="I2" s="122" t="s">
        <v>335</v>
      </c>
      <c r="P2" s="128" t="s">
        <v>370</v>
      </c>
    </row>
    <row r="3" spans="2:16">
      <c r="I3" s="122" t="s">
        <v>445</v>
      </c>
    </row>
    <row r="4" spans="2:16">
      <c r="I4" s="122" t="s">
        <v>446</v>
      </c>
    </row>
    <row r="5" spans="2:16">
      <c r="I5" s="122" t="s">
        <v>451</v>
      </c>
    </row>
    <row r="6" spans="2:16">
      <c r="I6" s="122" t="s">
        <v>450</v>
      </c>
    </row>
    <row r="7" spans="2:16">
      <c r="I7" s="122" t="s">
        <v>447</v>
      </c>
    </row>
    <row r="9" spans="2:16">
      <c r="J9" t="s">
        <v>389</v>
      </c>
    </row>
    <row r="10" spans="2:16">
      <c r="I10" s="125" t="s">
        <v>344</v>
      </c>
      <c r="J10" s="1"/>
      <c r="M10" s="121"/>
    </row>
    <row r="11" spans="2:16">
      <c r="J11" s="1"/>
      <c r="K11" s="121" t="s">
        <v>345</v>
      </c>
      <c r="L11" t="s">
        <v>390</v>
      </c>
    </row>
    <row r="12" spans="2:16" ht="18">
      <c r="H12" s="124" t="s">
        <v>339</v>
      </c>
      <c r="J12" s="1"/>
      <c r="L12" s="1"/>
      <c r="M12" s="126" t="s">
        <v>348</v>
      </c>
    </row>
    <row r="13" spans="2:16">
      <c r="H13" s="121"/>
      <c r="J13" s="1"/>
      <c r="L13" s="1"/>
    </row>
    <row r="14" spans="2:16" ht="18">
      <c r="B14" s="121"/>
      <c r="C14" s="121"/>
      <c r="D14" s="121"/>
      <c r="E14" s="121"/>
      <c r="H14" s="124" t="s">
        <v>340</v>
      </c>
      <c r="J14" s="1"/>
      <c r="L14" s="1"/>
      <c r="M14" s="121" t="s">
        <v>392</v>
      </c>
      <c r="N14" t="s">
        <v>391</v>
      </c>
    </row>
    <row r="15" spans="2:16">
      <c r="B15" s="89"/>
      <c r="C15" s="89"/>
      <c r="D15" s="89"/>
      <c r="E15" s="89"/>
      <c r="H15" s="121"/>
      <c r="J15" s="1"/>
      <c r="L15" s="1"/>
      <c r="N15" s="1"/>
      <c r="O15" t="s">
        <v>448</v>
      </c>
    </row>
    <row r="16" spans="2:16">
      <c r="H16" s="121"/>
      <c r="J16" s="1"/>
      <c r="L16" s="1"/>
      <c r="N16" s="1"/>
      <c r="O16" t="s">
        <v>449</v>
      </c>
    </row>
    <row r="17" spans="8:16" ht="18">
      <c r="H17" s="124" t="s">
        <v>400</v>
      </c>
      <c r="J17" s="1"/>
      <c r="L17" s="1"/>
      <c r="N17" s="1"/>
    </row>
    <row r="18" spans="8:16">
      <c r="H18" s="121"/>
      <c r="J18" s="1"/>
      <c r="L18" s="1"/>
    </row>
    <row r="19" spans="8:16">
      <c r="H19" s="121"/>
      <c r="J19" s="1"/>
      <c r="L19" s="1"/>
      <c r="O19" s="518"/>
    </row>
    <row r="20" spans="8:16" ht="18">
      <c r="H20" s="124" t="s">
        <v>436</v>
      </c>
      <c r="J20" s="1"/>
      <c r="L20" s="1"/>
      <c r="O20" s="518"/>
      <c r="P20" s="123"/>
    </row>
    <row r="21" spans="8:16">
      <c r="J21" s="1"/>
      <c r="L21" s="1"/>
      <c r="O21" s="132"/>
    </row>
    <row r="22" spans="8:16">
      <c r="J22" s="1"/>
      <c r="L22" s="121"/>
    </row>
    <row r="23" spans="8:16">
      <c r="J23" s="1"/>
    </row>
    <row r="24" spans="8:16">
      <c r="J24" s="1"/>
    </row>
    <row r="25" spans="8:16">
      <c r="H25" s="121"/>
      <c r="I25" s="121"/>
      <c r="J25" s="121"/>
    </row>
    <row r="28" spans="8:16">
      <c r="H28" s="2"/>
    </row>
    <row r="29" spans="8:16">
      <c r="O29" s="130"/>
    </row>
    <row r="30" spans="8:16">
      <c r="N30" s="127"/>
    </row>
    <row r="37" spans="12:12">
      <c r="L37" s="127"/>
    </row>
    <row r="49" spans="2:2" s="1" customFormat="1"/>
    <row r="58" spans="2:2">
      <c r="B58" s="129"/>
    </row>
    <row r="59" spans="2:2">
      <c r="B59" s="129"/>
    </row>
    <row r="60" spans="2:2">
      <c r="B60" s="129"/>
    </row>
    <row r="61" spans="2:2">
      <c r="B61" s="129"/>
    </row>
    <row r="65" spans="6:6">
      <c r="F65" s="127"/>
    </row>
  </sheetData>
  <mergeCells count="1">
    <mergeCell ref="O19:O20"/>
  </mergeCells>
  <phoneticPr fontId="5" type="noConversion"/>
  <pageMargins left="0.7" right="0.7" top="0.75" bottom="0.75" header="0.3" footer="0.3"/>
  <pageSetup paperSize="9"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R67"/>
  <sheetViews>
    <sheetView topLeftCell="A22" zoomScaleNormal="100" workbookViewId="0">
      <selection activeCell="I7" sqref="I7"/>
    </sheetView>
  </sheetViews>
  <sheetFormatPr defaultRowHeight="16.5"/>
  <cols>
    <col min="1" max="1" width="15.75" customWidth="1"/>
    <col min="5" max="5" width="9.5" bestFit="1" customWidth="1"/>
    <col min="9" max="9" width="13.875" customWidth="1"/>
  </cols>
  <sheetData>
    <row r="1" spans="2:18">
      <c r="B1" s="90" t="s">
        <v>472</v>
      </c>
    </row>
    <row r="2" spans="2:18">
      <c r="I2" s="122" t="s">
        <v>335</v>
      </c>
      <c r="R2" s="128" t="s">
        <v>370</v>
      </c>
    </row>
    <row r="3" spans="2:18">
      <c r="I3" s="122" t="s">
        <v>473</v>
      </c>
    </row>
    <row r="4" spans="2:18">
      <c r="I4" s="122" t="s">
        <v>474</v>
      </c>
    </row>
    <row r="5" spans="2:18">
      <c r="I5" s="122" t="s">
        <v>475</v>
      </c>
    </row>
    <row r="6" spans="2:18">
      <c r="I6" s="122" t="s">
        <v>451</v>
      </c>
    </row>
    <row r="7" spans="2:18">
      <c r="I7" s="122" t="s">
        <v>450</v>
      </c>
    </row>
    <row r="8" spans="2:18">
      <c r="I8" s="122" t="s">
        <v>477</v>
      </c>
    </row>
    <row r="10" spans="2:18">
      <c r="J10" t="s">
        <v>389</v>
      </c>
    </row>
    <row r="11" spans="2:18">
      <c r="I11" s="125"/>
      <c r="J11" s="1"/>
      <c r="M11" s="121"/>
      <c r="N11" s="121"/>
      <c r="O11" s="121"/>
    </row>
    <row r="12" spans="2:18">
      <c r="J12" s="1"/>
      <c r="K12" s="121"/>
      <c r="L12" t="s">
        <v>390</v>
      </c>
    </row>
    <row r="13" spans="2:18" ht="18">
      <c r="H13" s="124" t="s">
        <v>339</v>
      </c>
      <c r="J13" s="1"/>
      <c r="L13" s="1"/>
      <c r="M13" s="126"/>
      <c r="N13" s="126"/>
      <c r="O13" s="126"/>
    </row>
    <row r="14" spans="2:18">
      <c r="H14" s="121"/>
      <c r="J14" s="1"/>
      <c r="L14" s="1"/>
      <c r="N14" t="s">
        <v>391</v>
      </c>
    </row>
    <row r="15" spans="2:18" ht="18">
      <c r="B15" s="121"/>
      <c r="C15" s="121"/>
      <c r="D15" s="121"/>
      <c r="E15" s="121"/>
      <c r="H15" s="124" t="s">
        <v>340</v>
      </c>
      <c r="J15" s="1"/>
      <c r="L15" s="1"/>
      <c r="M15" s="121"/>
      <c r="N15" s="1"/>
      <c r="O15" s="121"/>
    </row>
    <row r="16" spans="2:18">
      <c r="B16" s="89"/>
      <c r="C16" s="89"/>
      <c r="D16" s="89"/>
      <c r="E16" s="89"/>
      <c r="H16" s="121"/>
      <c r="J16" s="1"/>
      <c r="L16" s="1"/>
      <c r="N16" s="1"/>
      <c r="P16" s="1"/>
      <c r="Q16" t="s">
        <v>448</v>
      </c>
    </row>
    <row r="17" spans="1:18">
      <c r="H17" s="121"/>
      <c r="J17" s="1"/>
      <c r="L17" s="1"/>
      <c r="N17" s="1"/>
      <c r="P17" s="1"/>
      <c r="Q17" t="s">
        <v>449</v>
      </c>
    </row>
    <row r="18" spans="1:18" ht="18">
      <c r="H18" s="124" t="s">
        <v>400</v>
      </c>
      <c r="J18" s="1"/>
      <c r="L18" s="1"/>
      <c r="N18" s="1"/>
      <c r="P18" s="1"/>
    </row>
    <row r="19" spans="1:18">
      <c r="H19" s="121"/>
      <c r="J19" s="1"/>
      <c r="L19" s="1"/>
      <c r="N19" s="1"/>
    </row>
    <row r="20" spans="1:18">
      <c r="H20" s="121"/>
      <c r="J20" s="1"/>
      <c r="L20" s="1"/>
      <c r="N20" s="1"/>
      <c r="Q20" s="518"/>
    </row>
    <row r="21" spans="1:18" ht="18">
      <c r="H21" s="124" t="s">
        <v>476</v>
      </c>
      <c r="J21" s="1"/>
      <c r="L21" s="1"/>
      <c r="N21" s="149"/>
      <c r="Q21" s="518"/>
      <c r="R21" s="123"/>
    </row>
    <row r="22" spans="1:18">
      <c r="J22" s="1"/>
      <c r="L22" s="1"/>
      <c r="N22" s="149"/>
      <c r="Q22" s="132"/>
    </row>
    <row r="23" spans="1:18">
      <c r="J23" s="1"/>
      <c r="L23" s="121"/>
      <c r="N23" s="149"/>
    </row>
    <row r="24" spans="1:18">
      <c r="J24" s="1"/>
      <c r="N24" s="149"/>
    </row>
    <row r="25" spans="1:18">
      <c r="C25" t="s">
        <v>485</v>
      </c>
      <c r="D25" s="151" t="s">
        <v>484</v>
      </c>
      <c r="J25" s="1"/>
    </row>
    <row r="26" spans="1:18">
      <c r="H26" s="121"/>
      <c r="I26" s="121"/>
      <c r="J26" s="121"/>
      <c r="L26" t="s">
        <v>486</v>
      </c>
    </row>
    <row r="27" spans="1:18">
      <c r="B27" s="121"/>
      <c r="C27" s="133"/>
      <c r="D27" s="133"/>
      <c r="E27" s="133"/>
      <c r="F27" s="133"/>
      <c r="G27" s="139"/>
      <c r="J27" s="133"/>
      <c r="K27" s="133"/>
      <c r="L27" s="133"/>
      <c r="M27" s="133"/>
      <c r="N27" s="139"/>
    </row>
    <row r="28" spans="1:18">
      <c r="B28" s="121"/>
      <c r="C28" s="133"/>
      <c r="D28" s="133"/>
      <c r="E28" s="133"/>
      <c r="F28" s="133"/>
      <c r="G28" s="139"/>
      <c r="J28" s="133"/>
      <c r="K28" s="133"/>
      <c r="L28" s="133"/>
      <c r="M28" s="133"/>
      <c r="N28" s="139"/>
    </row>
    <row r="29" spans="1:18">
      <c r="B29" s="121"/>
      <c r="C29" s="133"/>
      <c r="D29" s="133"/>
      <c r="E29" s="133"/>
      <c r="F29" s="133"/>
      <c r="G29" s="139"/>
      <c r="H29" s="2"/>
      <c r="J29" s="133"/>
      <c r="K29" s="133"/>
      <c r="L29" s="133"/>
      <c r="M29" s="133"/>
      <c r="N29" s="139"/>
    </row>
    <row r="30" spans="1:18">
      <c r="A30" t="s">
        <v>491</v>
      </c>
      <c r="B30" s="121">
        <v>8</v>
      </c>
      <c r="C30" s="133"/>
      <c r="D30" s="139"/>
      <c r="E30" s="133"/>
      <c r="F30" s="133"/>
      <c r="G30" s="139"/>
      <c r="J30" s="133"/>
      <c r="K30" s="139"/>
      <c r="L30" s="133"/>
      <c r="M30" s="133"/>
      <c r="N30" s="139"/>
      <c r="Q30" s="130"/>
    </row>
    <row r="31" spans="1:18">
      <c r="B31" s="121"/>
      <c r="C31" s="133"/>
      <c r="D31" s="133"/>
      <c r="E31" s="133"/>
      <c r="F31" s="133"/>
      <c r="G31" s="139"/>
      <c r="J31" s="133"/>
      <c r="K31" s="133"/>
      <c r="L31" s="133"/>
      <c r="M31" s="133"/>
      <c r="N31" s="139"/>
      <c r="P31" s="127"/>
    </row>
    <row r="32" spans="1:18">
      <c r="B32" s="121"/>
      <c r="C32" s="133"/>
      <c r="D32" s="133"/>
      <c r="E32" s="133"/>
      <c r="F32" s="133"/>
      <c r="G32" s="139"/>
      <c r="J32" s="133"/>
      <c r="K32" s="133"/>
      <c r="L32" s="133"/>
      <c r="M32" s="133"/>
      <c r="N32" s="139"/>
    </row>
    <row r="33" spans="1:18">
      <c r="B33" s="121"/>
      <c r="C33" s="133"/>
      <c r="D33" s="133"/>
      <c r="E33" s="133"/>
      <c r="F33" s="133"/>
      <c r="G33" s="139"/>
      <c r="I33" t="s">
        <v>488</v>
      </c>
      <c r="J33" s="154"/>
      <c r="K33" s="154"/>
      <c r="L33" s="154"/>
      <c r="M33" s="154"/>
      <c r="N33" s="155"/>
      <c r="P33" t="s">
        <v>490</v>
      </c>
    </row>
    <row r="34" spans="1:18">
      <c r="B34" s="121"/>
      <c r="C34" s="133"/>
      <c r="D34" s="133"/>
      <c r="E34" s="133"/>
      <c r="F34" s="133"/>
      <c r="G34" s="139"/>
      <c r="J34" s="154"/>
      <c r="K34" s="154"/>
      <c r="L34" s="154"/>
      <c r="M34" s="154"/>
      <c r="N34" s="155"/>
      <c r="P34" t="s">
        <v>492</v>
      </c>
      <c r="R34" t="s">
        <v>489</v>
      </c>
    </row>
    <row r="35" spans="1:18" s="152" customFormat="1">
      <c r="B35" s="153"/>
      <c r="G35" s="153"/>
    </row>
    <row r="36" spans="1:18">
      <c r="A36" t="s">
        <v>487</v>
      </c>
      <c r="B36" s="121">
        <v>2</v>
      </c>
      <c r="C36" s="135"/>
      <c r="D36" s="140"/>
      <c r="E36" s="135"/>
      <c r="F36" s="135"/>
      <c r="G36" s="140"/>
    </row>
    <row r="37" spans="1:18">
      <c r="B37" s="121"/>
      <c r="C37" s="135"/>
      <c r="D37" s="135"/>
      <c r="E37" s="135"/>
      <c r="F37" s="135"/>
      <c r="G37" s="140"/>
    </row>
    <row r="39" spans="1:18">
      <c r="L39" s="127"/>
    </row>
    <row r="51" spans="2:2" s="1" customFormat="1"/>
    <row r="60" spans="2:2">
      <c r="B60" s="129"/>
    </row>
    <row r="61" spans="2:2">
      <c r="B61" s="129"/>
    </row>
    <row r="62" spans="2:2">
      <c r="B62" s="129"/>
    </row>
    <row r="63" spans="2:2">
      <c r="B63" s="129"/>
    </row>
    <row r="67" spans="6:6">
      <c r="F67" s="127"/>
    </row>
  </sheetData>
  <mergeCells count="1">
    <mergeCell ref="Q20:Q21"/>
  </mergeCells>
  <phoneticPr fontId="5" type="noConversion"/>
  <pageMargins left="0.7" right="0.7" top="0.75" bottom="0.75" header="0.3" footer="0.3"/>
  <pageSetup paperSize="9"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B1:L11"/>
  <sheetViews>
    <sheetView showGridLines="0" zoomScale="130" zoomScaleNormal="130" workbookViewId="0">
      <selection activeCell="D16" sqref="D16"/>
    </sheetView>
  </sheetViews>
  <sheetFormatPr defaultRowHeight="16.5"/>
  <cols>
    <col min="3" max="3" width="23.375" customWidth="1"/>
  </cols>
  <sheetData>
    <row r="1" spans="2:12">
      <c r="B1" s="90" t="s">
        <v>441</v>
      </c>
    </row>
    <row r="3" spans="2:12" s="1" customFormat="1">
      <c r="C3" s="1" t="s">
        <v>439</v>
      </c>
    </row>
    <row r="4" spans="2:12">
      <c r="C4" s="141"/>
      <c r="D4" s="142" t="s">
        <v>437</v>
      </c>
      <c r="E4" s="141"/>
      <c r="F4" s="141"/>
      <c r="G4" s="141"/>
      <c r="H4" s="141"/>
      <c r="I4" s="141"/>
      <c r="J4" s="141"/>
      <c r="K4" s="141"/>
      <c r="L4" s="141"/>
    </row>
    <row r="5" spans="2:12">
      <c r="C5" s="141"/>
      <c r="D5" s="143" t="s">
        <v>438</v>
      </c>
      <c r="E5" s="141"/>
      <c r="F5" s="141"/>
      <c r="G5" s="141"/>
      <c r="H5" s="141"/>
      <c r="I5" s="141"/>
      <c r="J5" s="141"/>
      <c r="K5" s="141"/>
      <c r="L5" s="141"/>
    </row>
    <row r="8" spans="2:12" s="1" customFormat="1">
      <c r="C8" s="144" t="s">
        <v>440</v>
      </c>
    </row>
    <row r="9" spans="2:12">
      <c r="D9" s="25" t="s">
        <v>444</v>
      </c>
    </row>
    <row r="10" spans="2:12">
      <c r="D10" s="142" t="s">
        <v>442</v>
      </c>
    </row>
    <row r="11" spans="2:12">
      <c r="D11" s="142" t="s">
        <v>443</v>
      </c>
    </row>
  </sheetData>
  <phoneticPr fontId="5" type="noConversion"/>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AD148"/>
  <sheetViews>
    <sheetView showGridLines="0" topLeftCell="A58" zoomScale="70" zoomScaleNormal="70" workbookViewId="0">
      <selection activeCell="A154" sqref="A154"/>
    </sheetView>
  </sheetViews>
  <sheetFormatPr defaultRowHeight="16.5"/>
  <cols>
    <col min="1" max="1" width="21.875" customWidth="1"/>
    <col min="6" max="6" width="9" style="82"/>
  </cols>
  <sheetData>
    <row r="1" spans="1:12" s="138" customFormat="1">
      <c r="A1" s="138" t="s">
        <v>433</v>
      </c>
      <c r="L1" s="157" t="s">
        <v>501</v>
      </c>
    </row>
    <row r="2" spans="1:12">
      <c r="F2" s="82" t="s">
        <v>429</v>
      </c>
      <c r="K2" s="3" t="s">
        <v>497</v>
      </c>
    </row>
    <row r="3" spans="1:12">
      <c r="B3" s="133"/>
      <c r="C3" s="133"/>
      <c r="D3" s="133"/>
      <c r="E3" s="133"/>
      <c r="F3" s="134"/>
      <c r="K3" s="158" t="s">
        <v>495</v>
      </c>
    </row>
    <row r="4" spans="1:12">
      <c r="B4" s="133"/>
      <c r="C4" s="133"/>
      <c r="D4" s="133"/>
      <c r="E4" s="133"/>
      <c r="F4" s="134"/>
      <c r="I4" s="82" t="s">
        <v>431</v>
      </c>
      <c r="K4" s="158" t="s">
        <v>496</v>
      </c>
    </row>
    <row r="5" spans="1:12">
      <c r="B5" s="133"/>
      <c r="C5" s="133"/>
      <c r="D5" s="133"/>
      <c r="E5" s="133"/>
      <c r="F5" s="134"/>
      <c r="K5" s="158" t="s">
        <v>498</v>
      </c>
    </row>
    <row r="6" spans="1:12">
      <c r="A6" t="s">
        <v>430</v>
      </c>
      <c r="B6" s="133"/>
      <c r="C6" s="139" t="s">
        <v>458</v>
      </c>
      <c r="D6" s="133"/>
      <c r="E6" s="133"/>
      <c r="F6" s="134" t="s">
        <v>460</v>
      </c>
      <c r="K6" s="158" t="s">
        <v>499</v>
      </c>
    </row>
    <row r="7" spans="1:12">
      <c r="B7" s="133"/>
      <c r="C7" s="133"/>
      <c r="D7" s="133"/>
      <c r="E7" s="133"/>
      <c r="F7" s="134"/>
      <c r="K7" s="158" t="s">
        <v>500</v>
      </c>
    </row>
    <row r="8" spans="1:12">
      <c r="B8" s="133"/>
      <c r="C8" s="133"/>
      <c r="D8" s="133"/>
      <c r="E8" s="133"/>
      <c r="F8" s="134"/>
    </row>
    <row r="9" spans="1:12">
      <c r="B9" s="133"/>
      <c r="C9" s="133"/>
      <c r="D9" s="133"/>
      <c r="E9" s="133"/>
      <c r="F9" s="134"/>
    </row>
    <row r="10" spans="1:12" s="12" customFormat="1">
      <c r="F10" s="94"/>
    </row>
    <row r="11" spans="1:12">
      <c r="B11" s="135"/>
      <c r="C11" s="135"/>
      <c r="D11" s="135"/>
      <c r="E11" s="135"/>
      <c r="F11" s="136"/>
    </row>
    <row r="12" spans="1:12">
      <c r="A12" s="62" t="s">
        <v>428</v>
      </c>
      <c r="B12" s="135"/>
      <c r="C12" s="140" t="s">
        <v>459</v>
      </c>
      <c r="D12" s="135"/>
      <c r="E12" s="135"/>
      <c r="F12" s="136" t="s">
        <v>434</v>
      </c>
      <c r="I12" s="137" t="s">
        <v>432</v>
      </c>
    </row>
    <row r="13" spans="1:12">
      <c r="B13" s="135"/>
      <c r="C13" s="135"/>
      <c r="D13" s="135"/>
      <c r="E13" s="135"/>
      <c r="F13" s="136"/>
    </row>
    <row r="17" spans="1:30" s="1" customFormat="1">
      <c r="A17" s="138" t="s">
        <v>461</v>
      </c>
      <c r="F17" s="28"/>
      <c r="H17" s="1" t="s">
        <v>465</v>
      </c>
    </row>
    <row r="19" spans="1:30">
      <c r="B19" s="135"/>
      <c r="C19" s="135"/>
      <c r="D19" s="135"/>
      <c r="E19" s="135"/>
      <c r="F19" s="140"/>
      <c r="H19" s="133"/>
      <c r="I19" s="133"/>
      <c r="J19" s="133"/>
      <c r="K19" s="133"/>
      <c r="L19" s="139"/>
      <c r="N19" s="133"/>
      <c r="O19" s="133"/>
      <c r="P19" s="133"/>
      <c r="Q19" s="133"/>
      <c r="R19" s="139"/>
      <c r="T19" s="133"/>
      <c r="U19" s="133"/>
      <c r="V19" s="133"/>
      <c r="W19" s="133"/>
      <c r="X19" s="139"/>
      <c r="Z19" s="133"/>
      <c r="AA19" s="133"/>
      <c r="AB19" s="133"/>
      <c r="AC19" s="133"/>
      <c r="AD19" s="139"/>
    </row>
    <row r="20" spans="1:30">
      <c r="B20" s="135"/>
      <c r="C20" s="135"/>
      <c r="D20" s="135"/>
      <c r="E20" s="135"/>
      <c r="F20" s="140"/>
      <c r="H20" s="133"/>
      <c r="I20" s="133"/>
      <c r="J20" s="133"/>
      <c r="K20" s="133"/>
      <c r="L20" s="139"/>
      <c r="N20" s="133"/>
      <c r="O20" s="133"/>
      <c r="P20" s="133"/>
      <c r="Q20" s="133"/>
      <c r="R20" s="139"/>
      <c r="T20" s="133"/>
      <c r="U20" s="133"/>
      <c r="V20" s="133"/>
      <c r="W20" s="133"/>
      <c r="X20" s="139"/>
      <c r="Z20" s="133"/>
      <c r="AA20" s="133"/>
      <c r="AB20" s="133"/>
      <c r="AC20" s="133"/>
      <c r="AD20" s="139"/>
    </row>
    <row r="21" spans="1:30">
      <c r="B21" s="133"/>
      <c r="C21" s="133"/>
      <c r="D21" s="133"/>
      <c r="E21" s="133"/>
      <c r="F21" s="139"/>
      <c r="H21" s="135"/>
      <c r="I21" s="135"/>
      <c r="J21" s="135"/>
      <c r="K21" s="135"/>
      <c r="L21" s="140"/>
      <c r="N21" s="133"/>
      <c r="O21" s="133"/>
      <c r="P21" s="133"/>
      <c r="Q21" s="133"/>
      <c r="R21" s="139"/>
      <c r="T21" s="133"/>
      <c r="U21" s="133"/>
      <c r="V21" s="133"/>
      <c r="W21" s="133"/>
      <c r="X21" s="139"/>
      <c r="Z21" s="133"/>
      <c r="AA21" s="133"/>
      <c r="AB21" s="133"/>
      <c r="AC21" s="133"/>
      <c r="AD21" s="139"/>
    </row>
    <row r="22" spans="1:30">
      <c r="B22" s="133"/>
      <c r="C22" s="139"/>
      <c r="D22" s="133"/>
      <c r="E22" s="133"/>
      <c r="F22" s="139"/>
      <c r="H22" s="135"/>
      <c r="I22" s="135"/>
      <c r="J22" s="135"/>
      <c r="K22" s="135"/>
      <c r="L22" s="140"/>
      <c r="N22" s="133"/>
      <c r="O22" s="139"/>
      <c r="P22" s="133"/>
      <c r="Q22" s="133"/>
      <c r="R22" s="139"/>
      <c r="T22" s="133"/>
      <c r="U22" s="139"/>
      <c r="V22" s="133"/>
      <c r="W22" s="133"/>
      <c r="X22" s="139"/>
      <c r="Z22" s="133"/>
      <c r="AA22" s="139"/>
      <c r="AB22" s="133"/>
      <c r="AC22" s="133"/>
      <c r="AD22" s="139"/>
    </row>
    <row r="23" spans="1:30">
      <c r="B23" s="133"/>
      <c r="C23" s="133"/>
      <c r="D23" s="133"/>
      <c r="E23" s="133"/>
      <c r="F23" s="139"/>
      <c r="H23" s="133"/>
      <c r="I23" s="133"/>
      <c r="J23" s="133"/>
      <c r="K23" s="133"/>
      <c r="L23" s="139"/>
      <c r="N23" s="135"/>
      <c r="O23" s="135"/>
      <c r="P23" s="135"/>
      <c r="Q23" s="135"/>
      <c r="R23" s="140"/>
      <c r="T23" s="133"/>
      <c r="U23" s="133"/>
      <c r="V23" s="133"/>
      <c r="W23" s="133"/>
      <c r="X23" s="139"/>
      <c r="Z23" s="133"/>
      <c r="AA23" s="133"/>
      <c r="AB23" s="133"/>
      <c r="AC23" s="133"/>
      <c r="AD23" s="139"/>
    </row>
    <row r="24" spans="1:30">
      <c r="B24" s="133"/>
      <c r="C24" s="133"/>
      <c r="D24" s="133"/>
      <c r="E24" s="133"/>
      <c r="F24" s="139"/>
      <c r="H24" s="133"/>
      <c r="I24" s="133"/>
      <c r="J24" s="133"/>
      <c r="K24" s="133"/>
      <c r="L24" s="139"/>
      <c r="N24" s="135"/>
      <c r="O24" s="135"/>
      <c r="P24" s="135"/>
      <c r="Q24" s="135"/>
      <c r="R24" s="140"/>
      <c r="T24" s="133"/>
      <c r="U24" s="133"/>
      <c r="V24" s="133"/>
      <c r="W24" s="133"/>
      <c r="X24" s="139"/>
      <c r="Z24" s="133"/>
      <c r="AA24" s="133"/>
      <c r="AB24" s="133"/>
      <c r="AC24" s="133"/>
      <c r="AD24" s="139"/>
    </row>
    <row r="25" spans="1:30">
      <c r="B25" s="133"/>
      <c r="C25" s="133"/>
      <c r="D25" s="133"/>
      <c r="E25" s="133"/>
      <c r="F25" s="139"/>
      <c r="H25" s="133"/>
      <c r="I25" s="133"/>
      <c r="J25" s="133"/>
      <c r="K25" s="133"/>
      <c r="L25" s="139"/>
      <c r="N25" s="133"/>
      <c r="O25" s="133"/>
      <c r="P25" s="133"/>
      <c r="Q25" s="133"/>
      <c r="R25" s="139"/>
      <c r="T25" s="135"/>
      <c r="U25" s="135"/>
      <c r="V25" s="135"/>
      <c r="W25" s="135"/>
      <c r="X25" s="140"/>
      <c r="Z25" s="133"/>
      <c r="AA25" s="133"/>
      <c r="AB25" s="133"/>
      <c r="AC25" s="133"/>
      <c r="AD25" s="139"/>
    </row>
    <row r="26" spans="1:30">
      <c r="B26" s="133"/>
      <c r="C26" s="133"/>
      <c r="D26" s="133"/>
      <c r="E26" s="133"/>
      <c r="F26" s="139"/>
      <c r="H26" s="133"/>
      <c r="I26" s="133"/>
      <c r="J26" s="133"/>
      <c r="K26" s="133"/>
      <c r="L26" s="139"/>
      <c r="N26" s="133"/>
      <c r="O26" s="133"/>
      <c r="P26" s="133"/>
      <c r="Q26" s="133"/>
      <c r="R26" s="139"/>
      <c r="T26" s="135"/>
      <c r="U26" s="135"/>
      <c r="V26" s="135"/>
      <c r="W26" s="135"/>
      <c r="X26" s="140"/>
      <c r="Z26" s="133"/>
      <c r="AA26" s="133"/>
      <c r="AB26" s="133"/>
      <c r="AC26" s="133"/>
      <c r="AD26" s="139"/>
    </row>
    <row r="27" spans="1:30">
      <c r="B27" s="133"/>
      <c r="C27" s="139"/>
      <c r="D27" s="133"/>
      <c r="E27" s="133"/>
      <c r="F27" s="139"/>
      <c r="H27" s="133"/>
      <c r="I27" s="139"/>
      <c r="J27" s="133"/>
      <c r="K27" s="133"/>
      <c r="L27" s="139"/>
      <c r="N27" s="133"/>
      <c r="O27" s="139"/>
      <c r="P27" s="133"/>
      <c r="Q27" s="133"/>
      <c r="R27" s="139"/>
      <c r="T27" s="133"/>
      <c r="U27" s="139"/>
      <c r="V27" s="133"/>
      <c r="W27" s="133"/>
      <c r="X27" s="139"/>
      <c r="Z27" s="135"/>
      <c r="AA27" s="135"/>
      <c r="AB27" s="135"/>
      <c r="AC27" s="135"/>
      <c r="AD27" s="140"/>
    </row>
    <row r="28" spans="1:30">
      <c r="B28" s="133"/>
      <c r="C28" s="133"/>
      <c r="D28" s="133"/>
      <c r="E28" s="133"/>
      <c r="F28" s="139"/>
      <c r="H28" s="133"/>
      <c r="I28" s="133"/>
      <c r="J28" s="133"/>
      <c r="K28" s="133"/>
      <c r="L28" s="139"/>
      <c r="N28" s="133"/>
      <c r="O28" s="133"/>
      <c r="P28" s="133"/>
      <c r="Q28" s="133"/>
      <c r="R28" s="139"/>
      <c r="T28" s="133"/>
      <c r="U28" s="133"/>
      <c r="V28" s="133"/>
      <c r="W28" s="133"/>
      <c r="X28" s="139"/>
      <c r="Z28" s="135"/>
      <c r="AA28" s="135"/>
      <c r="AB28" s="135"/>
      <c r="AC28" s="135"/>
      <c r="AD28" s="140"/>
    </row>
    <row r="30" spans="1:30">
      <c r="A30" t="s">
        <v>466</v>
      </c>
      <c r="B30" t="s">
        <v>467</v>
      </c>
      <c r="D30">
        <f>208*0.8</f>
        <v>166.4</v>
      </c>
      <c r="F30" s="147">
        <v>0.8</v>
      </c>
    </row>
    <row r="31" spans="1:30">
      <c r="B31" t="s">
        <v>468</v>
      </c>
      <c r="D31">
        <f>208*0.2</f>
        <v>41.6</v>
      </c>
      <c r="F31" s="147">
        <v>0.2</v>
      </c>
    </row>
    <row r="32" spans="1:30">
      <c r="F32" s="121"/>
    </row>
    <row r="33" spans="1:29">
      <c r="F33" s="121"/>
    </row>
    <row r="34" spans="1:29">
      <c r="F34" s="121"/>
    </row>
    <row r="35" spans="1:29">
      <c r="B35" t="s">
        <v>469</v>
      </c>
      <c r="F35" s="147">
        <v>0.88</v>
      </c>
      <c r="J35" s="148">
        <v>0.76</v>
      </c>
      <c r="P35" s="148">
        <v>0.81</v>
      </c>
      <c r="W35" s="148">
        <v>0.88</v>
      </c>
      <c r="AC35" s="148">
        <v>0.95</v>
      </c>
    </row>
    <row r="36" spans="1:29">
      <c r="F36" s="121"/>
    </row>
    <row r="37" spans="1:29">
      <c r="F37" s="121"/>
    </row>
    <row r="38" spans="1:29">
      <c r="B38" t="s">
        <v>470</v>
      </c>
      <c r="F38" s="121"/>
      <c r="H38">
        <f xml:space="preserve"> AVERAGE(88,76,81,88,95)</f>
        <v>85.6</v>
      </c>
      <c r="I38" t="s">
        <v>471</v>
      </c>
    </row>
    <row r="39" spans="1:29">
      <c r="F39" s="121"/>
    </row>
    <row r="40" spans="1:29">
      <c r="F40" s="121"/>
    </row>
    <row r="41" spans="1:29">
      <c r="A41" s="163" t="s">
        <v>579</v>
      </c>
      <c r="F41" s="121"/>
    </row>
    <row r="42" spans="1:29">
      <c r="A42" s="163"/>
      <c r="F42" s="159"/>
    </row>
    <row r="43" spans="1:29">
      <c r="A43" s="170" t="s">
        <v>580</v>
      </c>
      <c r="F43" s="159"/>
    </row>
    <row r="44" spans="1:29">
      <c r="A44" s="163"/>
      <c r="F44" s="159"/>
    </row>
    <row r="45" spans="1:29">
      <c r="A45" s="163"/>
      <c r="F45" s="171" t="s">
        <v>582</v>
      </c>
    </row>
    <row r="46" spans="1:29">
      <c r="A46" s="163"/>
      <c r="F46" s="171" t="s">
        <v>581</v>
      </c>
    </row>
    <row r="47" spans="1:29">
      <c r="A47" s="163"/>
      <c r="F47" s="171"/>
    </row>
    <row r="48" spans="1:29">
      <c r="A48" s="163"/>
      <c r="F48" s="172" t="s">
        <v>583</v>
      </c>
    </row>
    <row r="49" spans="1:8">
      <c r="A49" s="163"/>
      <c r="F49" s="159"/>
    </row>
    <row r="50" spans="1:8">
      <c r="A50" s="163"/>
      <c r="F50" s="159"/>
    </row>
    <row r="51" spans="1:8">
      <c r="A51" s="163"/>
      <c r="F51" s="159"/>
    </row>
    <row r="52" spans="1:8">
      <c r="A52" s="173" t="s">
        <v>585</v>
      </c>
      <c r="F52" s="159"/>
      <c r="H52" t="s">
        <v>587</v>
      </c>
    </row>
    <row r="53" spans="1:8">
      <c r="A53" s="173" t="s">
        <v>584</v>
      </c>
      <c r="F53" s="159"/>
    </row>
    <row r="54" spans="1:8">
      <c r="A54" s="173" t="s">
        <v>586</v>
      </c>
      <c r="F54" s="159"/>
    </row>
    <row r="55" spans="1:8">
      <c r="A55" s="163"/>
      <c r="F55" s="159"/>
    </row>
    <row r="56" spans="1:8">
      <c r="A56" s="169"/>
      <c r="F56" s="121"/>
    </row>
    <row r="57" spans="1:8">
      <c r="F57" s="121"/>
    </row>
    <row r="58" spans="1:8">
      <c r="F58" s="121"/>
    </row>
    <row r="59" spans="1:8">
      <c r="F59" s="121"/>
    </row>
    <row r="61" spans="1:8" s="1" customFormat="1">
      <c r="A61" s="1" t="s">
        <v>463</v>
      </c>
      <c r="B61" s="1" t="s">
        <v>493</v>
      </c>
      <c r="F61" s="28"/>
    </row>
    <row r="63" spans="1:8" ht="18.75">
      <c r="A63" s="145" t="s">
        <v>462</v>
      </c>
    </row>
    <row r="64" spans="1:8">
      <c r="A64" t="s">
        <v>464</v>
      </c>
    </row>
    <row r="65" spans="1:6">
      <c r="A65" s="146"/>
    </row>
    <row r="68" spans="1:6" s="1" customFormat="1">
      <c r="A68" s="1" t="s">
        <v>494</v>
      </c>
      <c r="F68" s="28"/>
    </row>
    <row r="71" spans="1:6">
      <c r="A71" t="s">
        <v>478</v>
      </c>
    </row>
    <row r="72" spans="1:6">
      <c r="A72" s="129"/>
    </row>
    <row r="73" spans="1:6">
      <c r="A73" s="150" t="s">
        <v>479</v>
      </c>
    </row>
    <row r="74" spans="1:6">
      <c r="A74" s="129"/>
    </row>
    <row r="75" spans="1:6">
      <c r="A75" s="150" t="s">
        <v>480</v>
      </c>
    </row>
    <row r="76" spans="1:6">
      <c r="A76" s="129"/>
    </row>
    <row r="77" spans="1:6">
      <c r="A77" s="150" t="s">
        <v>481</v>
      </c>
    </row>
    <row r="78" spans="1:6">
      <c r="A78" s="129"/>
    </row>
    <row r="79" spans="1:6">
      <c r="A79" s="150" t="s">
        <v>482</v>
      </c>
    </row>
    <row r="81" spans="1:6">
      <c r="A81" t="s">
        <v>483</v>
      </c>
    </row>
    <row r="87" spans="1:6" s="175" customFormat="1" ht="31.5">
      <c r="A87" s="175" t="s">
        <v>588</v>
      </c>
      <c r="F87" s="176"/>
    </row>
    <row r="88" spans="1:6" ht="21.75">
      <c r="A88" s="174"/>
    </row>
    <row r="90" spans="1:6" ht="21.75">
      <c r="A90" s="177" t="s">
        <v>589</v>
      </c>
    </row>
    <row r="92" spans="1:6">
      <c r="A92" s="90" t="s">
        <v>590</v>
      </c>
    </row>
    <row r="93" spans="1:6">
      <c r="A93" s="129"/>
    </row>
    <row r="94" spans="1:6">
      <c r="A94" s="129" t="s">
        <v>591</v>
      </c>
    </row>
    <row r="95" spans="1:6">
      <c r="A95" s="129" t="s">
        <v>592</v>
      </c>
    </row>
    <row r="97" spans="1:1">
      <c r="A97" s="90" t="s">
        <v>593</v>
      </c>
    </row>
    <row r="98" spans="1:1">
      <c r="A98" s="129"/>
    </row>
    <row r="99" spans="1:1">
      <c r="A99" s="129" t="s">
        <v>594</v>
      </c>
    </row>
    <row r="101" spans="1:1">
      <c r="A101" s="90" t="s">
        <v>595</v>
      </c>
    </row>
    <row r="102" spans="1:1">
      <c r="A102" s="129"/>
    </row>
    <row r="103" spans="1:1">
      <c r="A103" s="129" t="s">
        <v>596</v>
      </c>
    </row>
    <row r="105" spans="1:1">
      <c r="A105" s="90" t="s">
        <v>597</v>
      </c>
    </row>
    <row r="106" spans="1:1">
      <c r="A106" s="129"/>
    </row>
    <row r="107" spans="1:1">
      <c r="A107" s="150" t="s">
        <v>598</v>
      </c>
    </row>
    <row r="109" spans="1:1" ht="21.75">
      <c r="A109" s="177" t="s">
        <v>599</v>
      </c>
    </row>
    <row r="111" spans="1:1">
      <c r="A111" s="90" t="s">
        <v>590</v>
      </c>
    </row>
    <row r="112" spans="1:1">
      <c r="A112" s="129"/>
    </row>
    <row r="113" spans="1:1">
      <c r="A113" s="129" t="s">
        <v>600</v>
      </c>
    </row>
    <row r="114" spans="1:1">
      <c r="A114" s="129" t="s">
        <v>601</v>
      </c>
    </row>
    <row r="116" spans="1:1">
      <c r="A116" s="90" t="s">
        <v>593</v>
      </c>
    </row>
    <row r="117" spans="1:1">
      <c r="A117" s="129"/>
    </row>
    <row r="118" spans="1:1">
      <c r="A118" s="129" t="s">
        <v>602</v>
      </c>
    </row>
    <row r="120" spans="1:1">
      <c r="A120" s="90" t="s">
        <v>595</v>
      </c>
    </row>
    <row r="121" spans="1:1">
      <c r="A121" s="129"/>
    </row>
    <row r="122" spans="1:1">
      <c r="A122" s="150" t="s">
        <v>603</v>
      </c>
    </row>
    <row r="123" spans="1:1">
      <c r="A123" s="150" t="s">
        <v>604</v>
      </c>
    </row>
    <row r="125" spans="1:1">
      <c r="A125" s="90" t="s">
        <v>597</v>
      </c>
    </row>
    <row r="126" spans="1:1">
      <c r="A126" s="129"/>
    </row>
    <row r="127" spans="1:1">
      <c r="A127" s="129" t="s">
        <v>605</v>
      </c>
    </row>
    <row r="129" spans="1:1" ht="21.75">
      <c r="A129" s="177" t="s">
        <v>606</v>
      </c>
    </row>
    <row r="130" spans="1:1">
      <c r="A130" s="129"/>
    </row>
    <row r="131" spans="1:1">
      <c r="A131" s="150" t="s">
        <v>607</v>
      </c>
    </row>
    <row r="132" spans="1:1">
      <c r="A132" s="129"/>
    </row>
    <row r="133" spans="1:1">
      <c r="A133" s="129"/>
    </row>
    <row r="134" spans="1:1">
      <c r="A134" s="178" t="s">
        <v>608</v>
      </c>
    </row>
    <row r="135" spans="1:1">
      <c r="A135" s="178" t="s">
        <v>609</v>
      </c>
    </row>
    <row r="136" spans="1:1">
      <c r="A136" s="178" t="s">
        <v>610</v>
      </c>
    </row>
    <row r="137" spans="1:1">
      <c r="A137" s="129"/>
    </row>
    <row r="138" spans="1:1">
      <c r="A138" s="150" t="s">
        <v>611</v>
      </c>
    </row>
    <row r="139" spans="1:1">
      <c r="A139" s="129"/>
    </row>
    <row r="140" spans="1:1">
      <c r="A140" s="129"/>
    </row>
    <row r="141" spans="1:1">
      <c r="A141" s="178" t="s">
        <v>612</v>
      </c>
    </row>
    <row r="142" spans="1:1">
      <c r="A142" s="178" t="s">
        <v>613</v>
      </c>
    </row>
    <row r="143" spans="1:1">
      <c r="A143" s="178" t="s">
        <v>614</v>
      </c>
    </row>
    <row r="145" spans="1:1" ht="21.75">
      <c r="A145" s="177" t="s">
        <v>615</v>
      </c>
    </row>
    <row r="146" spans="1:1">
      <c r="A146" s="129"/>
    </row>
    <row r="147" spans="1:1">
      <c r="A147" s="150" t="s">
        <v>616</v>
      </c>
    </row>
    <row r="148" spans="1:1">
      <c r="A148" s="150" t="s">
        <v>617</v>
      </c>
    </row>
  </sheetData>
  <phoneticPr fontId="5" type="noConversion"/>
  <pageMargins left="0.7" right="0.7" top="0.75" bottom="0.75" header="0.3" footer="0.3"/>
  <pageSetup paperSize="9"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3:S30"/>
  <sheetViews>
    <sheetView showGridLines="0" topLeftCell="E1" zoomScaleNormal="100" workbookViewId="0">
      <selection activeCell="P15" sqref="P15"/>
    </sheetView>
  </sheetViews>
  <sheetFormatPr defaultRowHeight="16.5"/>
  <sheetData>
    <row r="3" spans="1:19">
      <c r="H3" s="445" t="s">
        <v>2608</v>
      </c>
    </row>
    <row r="4" spans="1:19">
      <c r="E4" s="448" t="s">
        <v>2605</v>
      </c>
      <c r="H4" s="448" t="s">
        <v>2606</v>
      </c>
    </row>
    <row r="5" spans="1:19">
      <c r="E5" s="445" t="s">
        <v>2607</v>
      </c>
      <c r="K5" t="s">
        <v>2609</v>
      </c>
      <c r="O5" s="445" t="s">
        <v>2610</v>
      </c>
    </row>
    <row r="6" spans="1:19">
      <c r="H6" s="1"/>
      <c r="K6" s="1"/>
      <c r="O6" s="1"/>
    </row>
    <row r="7" spans="1:19">
      <c r="H7" s="1"/>
      <c r="K7" s="1"/>
      <c r="O7" s="1"/>
    </row>
    <row r="8" spans="1:19">
      <c r="E8" s="1"/>
      <c r="H8" s="1"/>
      <c r="K8" s="1"/>
      <c r="O8" s="1"/>
    </row>
    <row r="9" spans="1:19">
      <c r="E9" s="1"/>
      <c r="H9" s="1"/>
      <c r="K9" s="1"/>
      <c r="O9" s="1"/>
    </row>
    <row r="10" spans="1:19">
      <c r="E10" s="1"/>
      <c r="H10" s="1"/>
      <c r="K10" s="1"/>
      <c r="O10" s="1"/>
      <c r="R10" s="445" t="s">
        <v>2612</v>
      </c>
    </row>
    <row r="11" spans="1:19">
      <c r="E11" s="1"/>
      <c r="H11" s="1"/>
      <c r="K11" s="1"/>
      <c r="O11" s="1"/>
      <c r="R11" s="1"/>
    </row>
    <row r="12" spans="1:19">
      <c r="E12" s="1"/>
      <c r="H12" s="1"/>
      <c r="K12" s="1"/>
      <c r="O12" s="1"/>
      <c r="R12" s="1"/>
    </row>
    <row r="13" spans="1:19">
      <c r="E13" s="1"/>
      <c r="H13" s="1"/>
      <c r="K13" s="1"/>
      <c r="O13" s="1"/>
      <c r="R13" s="1"/>
    </row>
    <row r="14" spans="1:19">
      <c r="A14" s="89" t="s">
        <v>2603</v>
      </c>
      <c r="B14" s="89" t="s">
        <v>246</v>
      </c>
      <c r="C14" s="116" t="s">
        <v>2604</v>
      </c>
      <c r="D14" s="422"/>
      <c r="E14" s="1"/>
      <c r="H14" s="1"/>
      <c r="K14" s="1"/>
      <c r="O14" s="1"/>
      <c r="S14" t="s">
        <v>2611</v>
      </c>
    </row>
    <row r="15" spans="1:19">
      <c r="A15" s="89"/>
      <c r="B15" s="89"/>
      <c r="C15" s="117"/>
      <c r="D15" s="119"/>
      <c r="E15" s="1"/>
      <c r="H15" s="1"/>
      <c r="K15" s="1"/>
      <c r="O15" s="1"/>
    </row>
    <row r="16" spans="1:19">
      <c r="A16" s="89"/>
      <c r="B16" s="89"/>
      <c r="C16" s="117"/>
      <c r="D16" s="119"/>
      <c r="E16" s="1"/>
      <c r="H16" s="1"/>
      <c r="K16" s="1"/>
      <c r="O16" s="1"/>
    </row>
    <row r="17" spans="1:16">
      <c r="A17" s="89"/>
      <c r="B17" s="89"/>
      <c r="C17" s="117"/>
      <c r="D17" s="119"/>
      <c r="E17" s="1"/>
      <c r="H17" s="1"/>
      <c r="K17" s="1"/>
      <c r="O17" s="1"/>
    </row>
    <row r="18" spans="1:16">
      <c r="A18" s="89"/>
      <c r="B18" s="89"/>
      <c r="C18" s="117"/>
      <c r="D18" s="119"/>
      <c r="H18" s="1"/>
      <c r="K18" s="1"/>
      <c r="O18" s="1"/>
    </row>
    <row r="19" spans="1:16">
      <c r="H19" s="1"/>
      <c r="K19" s="1"/>
      <c r="O19" s="1"/>
    </row>
    <row r="20" spans="1:16">
      <c r="H20" s="1"/>
      <c r="I20" t="s">
        <v>346</v>
      </c>
      <c r="K20" s="1"/>
      <c r="L20" t="s">
        <v>346</v>
      </c>
      <c r="O20" s="1"/>
      <c r="P20" t="s">
        <v>346</v>
      </c>
    </row>
    <row r="24" spans="1:16">
      <c r="F24">
        <f>2*4+4</f>
        <v>12</v>
      </c>
      <c r="I24">
        <f>4*4+4</f>
        <v>20</v>
      </c>
      <c r="M24">
        <f>4*4+4</f>
        <v>20</v>
      </c>
      <c r="P24">
        <f>4*1+1</f>
        <v>5</v>
      </c>
    </row>
    <row r="30" spans="1:16">
      <c r="G30" t="s">
        <v>2613</v>
      </c>
      <c r="H30">
        <f>F24+I24+M24+P24</f>
        <v>57</v>
      </c>
    </row>
  </sheetData>
  <phoneticPr fontId="5"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6:V178"/>
  <sheetViews>
    <sheetView showGridLines="0" topLeftCell="A202" zoomScale="145" zoomScaleNormal="145" workbookViewId="0">
      <selection activeCell="F131" sqref="F131"/>
    </sheetView>
  </sheetViews>
  <sheetFormatPr defaultRowHeight="16.5"/>
  <cols>
    <col min="1" max="1" width="17.375" bestFit="1" customWidth="1"/>
    <col min="2" max="2" width="11.125" style="300" bestFit="1" customWidth="1"/>
    <col min="3" max="3" width="5.375" style="300" customWidth="1"/>
    <col min="4" max="4" width="13.625" style="300" bestFit="1" customWidth="1"/>
    <col min="5" max="6" width="7.375" style="300" customWidth="1"/>
  </cols>
  <sheetData>
    <row r="6" spans="2:10">
      <c r="C6" s="300" t="s">
        <v>1449</v>
      </c>
      <c r="J6" t="s">
        <v>1452</v>
      </c>
    </row>
    <row r="7" spans="2:10">
      <c r="E7" s="300" t="s">
        <v>1450</v>
      </c>
      <c r="F7" s="300" t="s">
        <v>1451</v>
      </c>
    </row>
    <row r="8" spans="2:10">
      <c r="J8" t="s">
        <v>1453</v>
      </c>
    </row>
    <row r="9" spans="2:10">
      <c r="J9" t="s">
        <v>1454</v>
      </c>
    </row>
    <row r="15" spans="2:10" s="1" customFormat="1">
      <c r="B15" s="28"/>
      <c r="C15" s="28" t="s">
        <v>1474</v>
      </c>
      <c r="D15" s="28"/>
      <c r="E15" s="28"/>
      <c r="F15" s="28"/>
    </row>
    <row r="16" spans="2:10">
      <c r="C16" s="303" t="s">
        <v>1473</v>
      </c>
    </row>
    <row r="21" spans="1:7" s="1" customFormat="1">
      <c r="B21" s="28" t="s">
        <v>1491</v>
      </c>
      <c r="C21" s="28"/>
      <c r="D21" s="28"/>
      <c r="E21" s="28"/>
      <c r="F21" s="28"/>
    </row>
    <row r="23" spans="1:7">
      <c r="C23" s="516" t="s">
        <v>1494</v>
      </c>
      <c r="D23" s="516"/>
      <c r="E23" s="516"/>
      <c r="G23" t="s">
        <v>1493</v>
      </c>
    </row>
    <row r="24" spans="1:7">
      <c r="C24" s="300">
        <v>0</v>
      </c>
      <c r="D24" s="300">
        <v>1</v>
      </c>
      <c r="E24" s="300">
        <v>2</v>
      </c>
    </row>
    <row r="25" spans="1:7">
      <c r="A25" s="518" t="s">
        <v>1492</v>
      </c>
      <c r="B25" s="300">
        <v>0</v>
      </c>
      <c r="C25" s="302" t="s">
        <v>1495</v>
      </c>
      <c r="D25" s="302" t="s">
        <v>1496</v>
      </c>
      <c r="E25" s="302" t="s">
        <v>1497</v>
      </c>
    </row>
    <row r="26" spans="1:7">
      <c r="A26" s="518"/>
      <c r="B26" s="300">
        <v>1</v>
      </c>
      <c r="C26" s="302" t="s">
        <v>1503</v>
      </c>
      <c r="D26" s="302" t="s">
        <v>1498</v>
      </c>
      <c r="E26" s="302" t="s">
        <v>1499</v>
      </c>
    </row>
    <row r="27" spans="1:7">
      <c r="A27" s="518"/>
      <c r="B27" s="300">
        <v>2</v>
      </c>
      <c r="C27" s="302" t="s">
        <v>1500</v>
      </c>
      <c r="D27" s="302" t="s">
        <v>1501</v>
      </c>
      <c r="E27" s="302" t="s">
        <v>1502</v>
      </c>
    </row>
    <row r="30" spans="1:7" s="1" customFormat="1">
      <c r="B30" s="28" t="s">
        <v>1506</v>
      </c>
      <c r="C30" s="28"/>
      <c r="D30" s="28"/>
      <c r="E30" s="28"/>
      <c r="F30" s="28"/>
    </row>
    <row r="32" spans="1:7">
      <c r="C32" s="300" t="s">
        <v>1504</v>
      </c>
    </row>
    <row r="33" spans="3:3">
      <c r="C33" s="300" t="s">
        <v>1505</v>
      </c>
    </row>
    <row r="61" spans="2:22" s="1" customFormat="1">
      <c r="B61" s="28" t="s">
        <v>1507</v>
      </c>
      <c r="C61" s="28"/>
      <c r="D61" s="28"/>
      <c r="E61" s="28"/>
      <c r="F61" s="28"/>
    </row>
    <row r="63" spans="2:22">
      <c r="V63" t="s">
        <v>1543</v>
      </c>
    </row>
    <row r="64" spans="2:22">
      <c r="B64" s="304" t="s">
        <v>1508</v>
      </c>
      <c r="C64" s="304" t="s">
        <v>1509</v>
      </c>
      <c r="D64" s="304" t="s">
        <v>1515</v>
      </c>
      <c r="E64" s="304" t="s">
        <v>1516</v>
      </c>
      <c r="F64" s="304" t="s">
        <v>1517</v>
      </c>
    </row>
    <row r="65" spans="1:22">
      <c r="A65" t="s">
        <v>1521</v>
      </c>
      <c r="B65" s="300">
        <v>1</v>
      </c>
      <c r="C65" s="300" t="s">
        <v>1510</v>
      </c>
      <c r="D65" s="300">
        <v>166</v>
      </c>
      <c r="E65" s="300">
        <v>70</v>
      </c>
      <c r="F65" s="300" t="s">
        <v>1518</v>
      </c>
      <c r="I65" s="300"/>
    </row>
    <row r="66" spans="1:22">
      <c r="A66" t="s">
        <v>1522</v>
      </c>
      <c r="B66" s="300">
        <v>2</v>
      </c>
      <c r="C66" s="300" t="s">
        <v>1511</v>
      </c>
      <c r="D66" s="300">
        <v>168</v>
      </c>
      <c r="E66" s="300">
        <v>50</v>
      </c>
      <c r="F66" s="300" t="s">
        <v>1519</v>
      </c>
      <c r="I66" s="300"/>
    </row>
    <row r="67" spans="1:22" ht="17.25">
      <c r="B67" s="300">
        <v>3</v>
      </c>
      <c r="C67" s="300" t="s">
        <v>1512</v>
      </c>
      <c r="D67" s="300">
        <v>170</v>
      </c>
      <c r="E67" s="300">
        <v>65</v>
      </c>
      <c r="F67" s="300" t="s">
        <v>1518</v>
      </c>
      <c r="I67" s="300"/>
      <c r="V67" s="241" t="s">
        <v>1544</v>
      </c>
    </row>
    <row r="68" spans="1:22">
      <c r="B68" s="300">
        <v>4</v>
      </c>
      <c r="C68" s="300" t="s">
        <v>1513</v>
      </c>
      <c r="D68" s="300">
        <v>172</v>
      </c>
      <c r="E68" s="300">
        <v>45</v>
      </c>
      <c r="F68" s="300" t="s">
        <v>1520</v>
      </c>
      <c r="I68" s="300"/>
      <c r="V68" s="129"/>
    </row>
    <row r="69" spans="1:22">
      <c r="B69" s="300">
        <v>5</v>
      </c>
      <c r="C69" s="300" t="s">
        <v>1514</v>
      </c>
      <c r="D69" s="300">
        <v>174</v>
      </c>
      <c r="E69" s="300">
        <v>80</v>
      </c>
      <c r="F69" s="300" t="s">
        <v>1518</v>
      </c>
      <c r="I69" s="300"/>
      <c r="V69" s="150" t="s">
        <v>1545</v>
      </c>
    </row>
    <row r="70" spans="1:22">
      <c r="V70" s="129"/>
    </row>
    <row r="71" spans="1:22">
      <c r="V71" s="150" t="s">
        <v>1546</v>
      </c>
    </row>
    <row r="72" spans="1:22">
      <c r="I72" s="300"/>
      <c r="V72" s="129"/>
    </row>
    <row r="73" spans="1:22">
      <c r="I73" s="300"/>
      <c r="V73" s="129"/>
    </row>
    <row r="74" spans="1:22">
      <c r="I74" s="300"/>
      <c r="V74" s="313" t="s">
        <v>1547</v>
      </c>
    </row>
    <row r="75" spans="1:22">
      <c r="I75" s="300"/>
      <c r="V75" s="313" t="s">
        <v>1548</v>
      </c>
    </row>
    <row r="76" spans="1:22">
      <c r="I76" s="300"/>
      <c r="V76" s="313" t="s">
        <v>1549</v>
      </c>
    </row>
    <row r="77" spans="1:22">
      <c r="B77" s="307" t="s">
        <v>1523</v>
      </c>
      <c r="V77" s="313" t="s">
        <v>1550</v>
      </c>
    </row>
    <row r="78" spans="1:22">
      <c r="G78" s="3" t="s">
        <v>1524</v>
      </c>
      <c r="V78" s="313" t="s">
        <v>1551</v>
      </c>
    </row>
    <row r="80" spans="1:22">
      <c r="V80" t="s">
        <v>1556</v>
      </c>
    </row>
    <row r="82" spans="2:22">
      <c r="B82" s="304" t="s">
        <v>126</v>
      </c>
      <c r="C82" s="304" t="s">
        <v>132</v>
      </c>
      <c r="D82" s="304" t="s">
        <v>138</v>
      </c>
      <c r="E82" s="304" t="s">
        <v>1516</v>
      </c>
      <c r="F82" s="304" t="s">
        <v>1517</v>
      </c>
      <c r="G82" s="304" t="s">
        <v>1525</v>
      </c>
      <c r="L82" s="308" t="s">
        <v>126</v>
      </c>
      <c r="M82" s="308" t="s">
        <v>1525</v>
      </c>
      <c r="N82" s="308" t="s">
        <v>1526</v>
      </c>
      <c r="V82" t="s">
        <v>1553</v>
      </c>
    </row>
    <row r="83" spans="2:22">
      <c r="B83" s="301">
        <v>1</v>
      </c>
      <c r="C83" s="301" t="s">
        <v>133</v>
      </c>
      <c r="D83" s="301">
        <v>166</v>
      </c>
      <c r="E83" s="301">
        <v>70</v>
      </c>
      <c r="F83" s="301" t="s">
        <v>1518</v>
      </c>
      <c r="G83" s="301">
        <v>30</v>
      </c>
      <c r="L83" s="301">
        <v>1</v>
      </c>
      <c r="M83" s="301">
        <v>30</v>
      </c>
      <c r="N83" s="301"/>
      <c r="V83" t="s">
        <v>1554</v>
      </c>
    </row>
    <row r="84" spans="2:22">
      <c r="B84" s="301">
        <v>2</v>
      </c>
      <c r="C84" s="301" t="s">
        <v>134</v>
      </c>
      <c r="D84" s="301">
        <v>168</v>
      </c>
      <c r="E84" s="301">
        <v>50</v>
      </c>
      <c r="F84" s="301" t="s">
        <v>1519</v>
      </c>
      <c r="L84" s="301">
        <v>5</v>
      </c>
      <c r="M84" s="301">
        <v>45</v>
      </c>
      <c r="N84" s="301"/>
    </row>
    <row r="85" spans="2:22">
      <c r="B85" s="301">
        <v>3</v>
      </c>
      <c r="C85" s="301" t="s">
        <v>135</v>
      </c>
      <c r="D85" s="301">
        <v>170</v>
      </c>
      <c r="E85" s="301">
        <v>65</v>
      </c>
      <c r="F85" s="301" t="s">
        <v>1518</v>
      </c>
      <c r="L85" s="301">
        <v>6</v>
      </c>
      <c r="M85" s="301"/>
      <c r="N85" s="301" t="s">
        <v>1528</v>
      </c>
      <c r="V85" t="s">
        <v>1555</v>
      </c>
    </row>
    <row r="86" spans="2:22">
      <c r="B86" s="301">
        <v>4</v>
      </c>
      <c r="C86" s="301" t="s">
        <v>136</v>
      </c>
      <c r="D86" s="301">
        <v>172</v>
      </c>
      <c r="E86" s="301">
        <v>45</v>
      </c>
      <c r="F86" s="301" t="s">
        <v>1519</v>
      </c>
      <c r="L86" s="301">
        <v>7</v>
      </c>
      <c r="M86" s="301"/>
      <c r="N86" s="301" t="s">
        <v>1528</v>
      </c>
    </row>
    <row r="87" spans="2:22">
      <c r="B87" s="301">
        <v>5</v>
      </c>
      <c r="C87" s="301" t="s">
        <v>137</v>
      </c>
      <c r="D87" s="301">
        <v>174</v>
      </c>
      <c r="E87" s="301">
        <v>80</v>
      </c>
      <c r="F87" s="301" t="s">
        <v>1518</v>
      </c>
      <c r="G87" s="301">
        <v>45</v>
      </c>
      <c r="L87" s="301">
        <v>8</v>
      </c>
      <c r="M87" s="301"/>
      <c r="N87" s="301" t="s">
        <v>1527</v>
      </c>
      <c r="V87" s="90" t="s">
        <v>1557</v>
      </c>
    </row>
    <row r="88" spans="2:22">
      <c r="V88" t="s">
        <v>1558</v>
      </c>
    </row>
    <row r="91" spans="2:22" ht="17.25">
      <c r="V91" s="241" t="s">
        <v>1559</v>
      </c>
    </row>
    <row r="92" spans="2:22">
      <c r="G92" s="304" t="s">
        <v>126</v>
      </c>
      <c r="H92" s="304" t="s">
        <v>132</v>
      </c>
      <c r="I92" s="304" t="s">
        <v>138</v>
      </c>
      <c r="J92" s="304" t="s">
        <v>1516</v>
      </c>
      <c r="K92" s="304" t="s">
        <v>1517</v>
      </c>
      <c r="L92" s="304" t="s">
        <v>1525</v>
      </c>
      <c r="M92" s="308" t="s">
        <v>1526</v>
      </c>
      <c r="V92" s="129"/>
    </row>
    <row r="93" spans="2:22">
      <c r="G93" s="301">
        <v>1</v>
      </c>
      <c r="H93" s="301" t="s">
        <v>133</v>
      </c>
      <c r="I93" s="301">
        <v>166</v>
      </c>
      <c r="J93" s="301">
        <v>70</v>
      </c>
      <c r="K93" s="301" t="s">
        <v>1518</v>
      </c>
      <c r="L93" s="301">
        <v>30</v>
      </c>
      <c r="V93" s="150" t="s">
        <v>1560</v>
      </c>
    </row>
    <row r="94" spans="2:22">
      <c r="G94" s="301">
        <v>2</v>
      </c>
      <c r="H94" s="301" t="s">
        <v>134</v>
      </c>
      <c r="I94" s="301">
        <v>168</v>
      </c>
      <c r="J94" s="301">
        <v>50</v>
      </c>
      <c r="K94" s="301" t="s">
        <v>1519</v>
      </c>
      <c r="V94" s="129"/>
    </row>
    <row r="95" spans="2:22">
      <c r="G95" s="301">
        <v>3</v>
      </c>
      <c r="H95" s="301" t="s">
        <v>135</v>
      </c>
      <c r="I95" s="301">
        <v>170</v>
      </c>
      <c r="J95" s="301">
        <v>65</v>
      </c>
      <c r="K95" s="301" t="s">
        <v>1518</v>
      </c>
      <c r="V95" s="150" t="s">
        <v>1546</v>
      </c>
    </row>
    <row r="96" spans="2:22">
      <c r="G96" s="301">
        <v>4</v>
      </c>
      <c r="H96" s="301" t="s">
        <v>136</v>
      </c>
      <c r="I96" s="301">
        <v>172</v>
      </c>
      <c r="J96" s="301">
        <v>45</v>
      </c>
      <c r="K96" s="301" t="s">
        <v>1519</v>
      </c>
      <c r="V96" s="129"/>
    </row>
    <row r="97" spans="1:22">
      <c r="G97" s="301">
        <v>5</v>
      </c>
      <c r="H97" s="301" t="s">
        <v>137</v>
      </c>
      <c r="I97" s="301">
        <v>174</v>
      </c>
      <c r="J97" s="301">
        <v>80</v>
      </c>
      <c r="K97" s="301" t="s">
        <v>1518</v>
      </c>
      <c r="L97" s="301">
        <v>45</v>
      </c>
      <c r="V97" s="129"/>
    </row>
    <row r="98" spans="1:22">
      <c r="G98" s="301">
        <v>6</v>
      </c>
      <c r="M98" s="301" t="s">
        <v>1528</v>
      </c>
      <c r="V98" s="313" t="s">
        <v>1561</v>
      </c>
    </row>
    <row r="99" spans="1:22">
      <c r="G99" s="301">
        <v>7</v>
      </c>
      <c r="M99" s="301" t="s">
        <v>1528</v>
      </c>
      <c r="V99" s="313" t="s">
        <v>1562</v>
      </c>
    </row>
    <row r="100" spans="1:22">
      <c r="G100" s="301">
        <v>8</v>
      </c>
      <c r="M100" s="301" t="s">
        <v>1527</v>
      </c>
      <c r="V100" s="313" t="s">
        <v>1563</v>
      </c>
    </row>
    <row r="102" spans="1:22">
      <c r="V102" t="s">
        <v>1564</v>
      </c>
    </row>
    <row r="103" spans="1:22">
      <c r="V103" t="s">
        <v>1565</v>
      </c>
    </row>
    <row r="104" spans="1:22" s="1" customFormat="1">
      <c r="B104" s="28" t="s">
        <v>1530</v>
      </c>
      <c r="C104" s="28"/>
      <c r="D104" s="28"/>
      <c r="E104" s="28"/>
      <c r="F104" s="28"/>
    </row>
    <row r="105" spans="1:22">
      <c r="V105" t="s">
        <v>1566</v>
      </c>
    </row>
    <row r="107" spans="1:22">
      <c r="D107" s="300" t="s">
        <v>1531</v>
      </c>
      <c r="E107" s="305" t="s">
        <v>1532</v>
      </c>
      <c r="F107" s="305" t="s">
        <v>1533</v>
      </c>
      <c r="V107" s="90" t="s">
        <v>1557</v>
      </c>
    </row>
    <row r="108" spans="1:22">
      <c r="D108" s="306" t="s">
        <v>1534</v>
      </c>
      <c r="E108" s="306">
        <v>1</v>
      </c>
      <c r="F108" s="306">
        <v>1</v>
      </c>
      <c r="V108" t="s">
        <v>1567</v>
      </c>
    </row>
    <row r="109" spans="1:22">
      <c r="D109" s="300" t="s">
        <v>1535</v>
      </c>
      <c r="E109" s="306">
        <v>1</v>
      </c>
      <c r="F109" s="300">
        <v>2</v>
      </c>
    </row>
    <row r="110" spans="1:22">
      <c r="D110" s="300" t="s">
        <v>1534</v>
      </c>
      <c r="E110" s="300">
        <v>2</v>
      </c>
      <c r="F110" s="300">
        <v>2</v>
      </c>
    </row>
    <row r="111" spans="1:22" ht="17.25">
      <c r="A111" s="301"/>
      <c r="V111" s="241" t="s">
        <v>1568</v>
      </c>
    </row>
    <row r="112" spans="1:22">
      <c r="V112" s="129"/>
    </row>
    <row r="113" spans="2:22">
      <c r="B113" s="301"/>
      <c r="V113" s="150" t="s">
        <v>1569</v>
      </c>
    </row>
    <row r="114" spans="2:22">
      <c r="B114" s="301"/>
      <c r="V114" s="129"/>
    </row>
    <row r="115" spans="2:22">
      <c r="V115" s="150" t="s">
        <v>1546</v>
      </c>
    </row>
    <row r="116" spans="2:22">
      <c r="B116" s="310"/>
      <c r="V116" s="129"/>
    </row>
    <row r="117" spans="2:22">
      <c r="V117" s="129"/>
    </row>
    <row r="118" spans="2:22">
      <c r="V118" s="313" t="s">
        <v>1570</v>
      </c>
    </row>
    <row r="119" spans="2:22">
      <c r="V119" s="313" t="s">
        <v>1571</v>
      </c>
    </row>
    <row r="120" spans="2:22">
      <c r="V120" s="313" t="s">
        <v>1572</v>
      </c>
    </row>
    <row r="121" spans="2:22">
      <c r="V121" s="313" t="s">
        <v>1573</v>
      </c>
    </row>
    <row r="124" spans="2:22">
      <c r="V124" t="s">
        <v>1574</v>
      </c>
    </row>
    <row r="125" spans="2:22">
      <c r="V125" t="s">
        <v>1575</v>
      </c>
    </row>
    <row r="127" spans="2:22">
      <c r="V127" t="s">
        <v>1576</v>
      </c>
    </row>
    <row r="129" spans="2:22">
      <c r="V129" s="90" t="s">
        <v>1557</v>
      </c>
    </row>
    <row r="130" spans="2:22">
      <c r="V130" t="s">
        <v>1577</v>
      </c>
    </row>
    <row r="134" spans="2:22" s="1" customFormat="1">
      <c r="B134" s="314" t="s">
        <v>1578</v>
      </c>
      <c r="C134" s="28"/>
      <c r="D134" s="28"/>
      <c r="E134" s="28"/>
      <c r="F134" s="28"/>
    </row>
    <row r="136" spans="2:22">
      <c r="E136" s="300" t="s">
        <v>1579</v>
      </c>
    </row>
    <row r="140" spans="2:22" ht="21.75">
      <c r="B140" s="177" t="s">
        <v>1580</v>
      </c>
    </row>
    <row r="141" spans="2:22">
      <c r="B141"/>
    </row>
    <row r="142" spans="2:22">
      <c r="B142" t="s">
        <v>1595</v>
      </c>
    </row>
    <row r="144" spans="2:22" ht="17.25">
      <c r="B144" s="241" t="s">
        <v>745</v>
      </c>
    </row>
    <row r="145" spans="2:7">
      <c r="B145" s="129"/>
    </row>
    <row r="146" spans="2:7">
      <c r="B146" s="150" t="s">
        <v>1581</v>
      </c>
    </row>
    <row r="149" spans="2:7">
      <c r="B149" s="309" t="s">
        <v>1552</v>
      </c>
      <c r="C149" s="309"/>
      <c r="D149" s="309"/>
      <c r="E149" s="309"/>
      <c r="F149" s="309"/>
      <c r="G149" s="309"/>
    </row>
    <row r="150" spans="2:7">
      <c r="B150" s="309"/>
      <c r="C150" s="309"/>
      <c r="D150" s="309"/>
      <c r="E150" s="309"/>
      <c r="F150" s="309"/>
      <c r="G150" s="309"/>
    </row>
    <row r="151" spans="2:7">
      <c r="B151" s="309" t="s">
        <v>1582</v>
      </c>
      <c r="C151" s="309"/>
      <c r="D151" s="309"/>
      <c r="E151" s="309"/>
      <c r="F151" s="309"/>
      <c r="G151" s="309"/>
    </row>
    <row r="152" spans="2:7">
      <c r="B152" s="309" t="s">
        <v>1583</v>
      </c>
      <c r="C152" s="309"/>
      <c r="D152" s="309"/>
      <c r="E152" s="309"/>
      <c r="F152" s="309"/>
      <c r="G152" s="309"/>
    </row>
    <row r="153" spans="2:7">
      <c r="B153" s="309" t="s">
        <v>1584</v>
      </c>
      <c r="C153" s="309" t="s">
        <v>1585</v>
      </c>
      <c r="D153" s="309" t="s">
        <v>1586</v>
      </c>
      <c r="E153" s="309" t="s">
        <v>1585</v>
      </c>
      <c r="F153" s="309" t="s">
        <v>1587</v>
      </c>
      <c r="G153" s="309"/>
    </row>
    <row r="154" spans="2:7">
      <c r="B154" s="309" t="s">
        <v>1588</v>
      </c>
      <c r="C154" s="309">
        <v>20</v>
      </c>
      <c r="D154" s="309">
        <v>15</v>
      </c>
      <c r="E154" s="309">
        <v>30</v>
      </c>
      <c r="F154" s="309" t="s">
        <v>1589</v>
      </c>
      <c r="G154" s="309"/>
    </row>
    <row r="155" spans="2:7">
      <c r="B155" s="309" t="s">
        <v>1590</v>
      </c>
      <c r="C155" s="309"/>
      <c r="D155" s="309"/>
      <c r="E155" s="309"/>
      <c r="F155" s="309"/>
      <c r="G155" s="309"/>
    </row>
    <row r="156" spans="2:7">
      <c r="B156" s="309" t="s">
        <v>1591</v>
      </c>
      <c r="C156" s="309"/>
      <c r="D156" s="309"/>
      <c r="E156" s="309"/>
      <c r="F156" s="309"/>
      <c r="G156" s="309"/>
    </row>
    <row r="157" spans="2:7">
      <c r="B157" s="309"/>
      <c r="C157" s="309"/>
      <c r="D157" s="309"/>
      <c r="E157" s="309"/>
      <c r="F157" s="309"/>
      <c r="G157" s="309"/>
    </row>
    <row r="158" spans="2:7">
      <c r="B158" s="309" t="s">
        <v>1592</v>
      </c>
      <c r="C158" s="309"/>
      <c r="D158" s="309"/>
      <c r="E158" s="309"/>
      <c r="F158" s="309"/>
      <c r="G158" s="309"/>
    </row>
    <row r="159" spans="2:7">
      <c r="B159" s="309" t="s">
        <v>1593</v>
      </c>
      <c r="C159" s="309"/>
      <c r="D159" s="309"/>
      <c r="E159" s="309"/>
      <c r="F159" s="309"/>
      <c r="G159" s="309"/>
    </row>
    <row r="160" spans="2:7">
      <c r="B160" s="309" t="s">
        <v>1594</v>
      </c>
      <c r="C160" s="309"/>
      <c r="D160" s="309"/>
      <c r="E160" s="309"/>
      <c r="F160" s="309"/>
      <c r="G160" s="309"/>
    </row>
    <row r="162" spans="2:9" ht="21.75">
      <c r="B162" s="177" t="s">
        <v>1596</v>
      </c>
    </row>
    <row r="163" spans="2:9">
      <c r="B163"/>
    </row>
    <row r="164" spans="2:9">
      <c r="B164" t="s">
        <v>1597</v>
      </c>
    </row>
    <row r="166" spans="2:9">
      <c r="B166" s="309" t="s">
        <v>1552</v>
      </c>
      <c r="C166" s="309"/>
      <c r="D166" s="309"/>
      <c r="E166" s="309"/>
      <c r="F166" s="309"/>
      <c r="G166" s="309"/>
      <c r="H166" s="309"/>
      <c r="I166" s="309"/>
    </row>
    <row r="167" spans="2:9">
      <c r="B167" s="309"/>
      <c r="C167" s="309"/>
      <c r="D167" s="309"/>
      <c r="E167" s="309"/>
      <c r="F167" s="309"/>
      <c r="G167" s="309"/>
      <c r="H167" s="309"/>
      <c r="I167" s="309"/>
    </row>
    <row r="168" spans="2:9">
      <c r="B168" s="309" t="s">
        <v>1582</v>
      </c>
      <c r="C168" s="309"/>
      <c r="D168" s="309"/>
      <c r="E168" s="309"/>
      <c r="F168" s="309"/>
      <c r="G168" s="309"/>
      <c r="H168" s="309"/>
      <c r="I168" s="309"/>
    </row>
    <row r="169" spans="2:9">
      <c r="B169" s="309" t="s">
        <v>1583</v>
      </c>
      <c r="C169" s="309"/>
      <c r="D169" s="309"/>
      <c r="E169" s="309"/>
      <c r="F169" s="309"/>
      <c r="G169" s="309"/>
      <c r="H169" s="309"/>
      <c r="I169" s="309"/>
    </row>
    <row r="170" spans="2:9">
      <c r="B170" s="309" t="s">
        <v>1584</v>
      </c>
      <c r="C170" s="309" t="s">
        <v>1585</v>
      </c>
      <c r="D170" s="309" t="s">
        <v>1586</v>
      </c>
      <c r="E170" s="309" t="s">
        <v>1585</v>
      </c>
      <c r="F170" s="309" t="s">
        <v>1598</v>
      </c>
      <c r="G170" s="309" t="s">
        <v>1586</v>
      </c>
      <c r="H170" s="309" t="s">
        <v>1599</v>
      </c>
      <c r="I170" s="309"/>
    </row>
    <row r="171" spans="2:9">
      <c r="B171" s="309" t="s">
        <v>1600</v>
      </c>
      <c r="C171" s="309" t="s">
        <v>1601</v>
      </c>
      <c r="D171" s="309" t="s">
        <v>1602</v>
      </c>
      <c r="E171" s="309" t="s">
        <v>1602</v>
      </c>
      <c r="F171" s="309" t="s">
        <v>1601</v>
      </c>
      <c r="G171" s="309" t="s">
        <v>1602</v>
      </c>
      <c r="H171" s="309" t="s">
        <v>1603</v>
      </c>
      <c r="I171" s="309"/>
    </row>
    <row r="172" spans="2:9">
      <c r="B172" s="309" t="s">
        <v>1588</v>
      </c>
      <c r="C172" s="309">
        <v>20</v>
      </c>
      <c r="D172" s="309">
        <v>15</v>
      </c>
      <c r="E172" s="309">
        <v>30</v>
      </c>
      <c r="F172" s="309">
        <v>25</v>
      </c>
      <c r="G172" s="309">
        <v>5</v>
      </c>
      <c r="H172" s="309" t="s">
        <v>1604</v>
      </c>
      <c r="I172" s="309"/>
    </row>
    <row r="173" spans="2:9">
      <c r="B173" s="309" t="s">
        <v>1590</v>
      </c>
      <c r="C173" s="309"/>
      <c r="D173" s="309"/>
      <c r="E173" s="309"/>
      <c r="F173" s="309"/>
      <c r="G173" s="309"/>
      <c r="H173" s="309"/>
      <c r="I173" s="309"/>
    </row>
    <row r="174" spans="2:9">
      <c r="B174" s="309" t="s">
        <v>1591</v>
      </c>
      <c r="C174" s="309"/>
      <c r="D174" s="309"/>
      <c r="E174" s="309"/>
      <c r="F174" s="309"/>
      <c r="G174" s="309"/>
      <c r="H174" s="309"/>
      <c r="I174" s="309"/>
    </row>
    <row r="175" spans="2:9">
      <c r="B175" s="309"/>
      <c r="C175" s="309"/>
      <c r="D175" s="309"/>
      <c r="E175" s="309"/>
      <c r="F175" s="309"/>
      <c r="G175" s="309"/>
      <c r="H175" s="309"/>
      <c r="I175" s="309"/>
    </row>
    <row r="176" spans="2:9">
      <c r="B176" s="309" t="s">
        <v>1605</v>
      </c>
      <c r="C176" s="309"/>
      <c r="D176" s="309"/>
      <c r="E176" s="309"/>
      <c r="F176" s="309"/>
      <c r="G176" s="309"/>
      <c r="H176" s="309"/>
      <c r="I176" s="309"/>
    </row>
    <row r="177" spans="2:9">
      <c r="B177" s="309" t="s">
        <v>1606</v>
      </c>
      <c r="C177" s="309" t="s">
        <v>1607</v>
      </c>
      <c r="D177" s="309" t="s">
        <v>1608</v>
      </c>
      <c r="E177" s="309" t="s">
        <v>1609</v>
      </c>
      <c r="F177" s="309" t="s">
        <v>1610</v>
      </c>
      <c r="G177" s="309"/>
      <c r="H177" s="309"/>
      <c r="I177" s="309"/>
    </row>
    <row r="178" spans="2:9">
      <c r="B178" s="309" t="s">
        <v>1611</v>
      </c>
      <c r="C178" s="309"/>
      <c r="D178" s="309"/>
      <c r="E178" s="309"/>
      <c r="F178" s="309"/>
      <c r="G178" s="309"/>
      <c r="H178" s="309"/>
      <c r="I178" s="309"/>
    </row>
  </sheetData>
  <mergeCells count="2">
    <mergeCell ref="A25:A27"/>
    <mergeCell ref="C23:E23"/>
  </mergeCells>
  <phoneticPr fontId="5" type="noConversion"/>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7:N125"/>
  <sheetViews>
    <sheetView showGridLines="0" topLeftCell="A95" zoomScaleNormal="100" workbookViewId="0">
      <selection activeCell="A102" sqref="A102"/>
    </sheetView>
  </sheetViews>
  <sheetFormatPr defaultRowHeight="16.5"/>
  <sheetData>
    <row r="7" spans="10:14">
      <c r="K7" s="323"/>
    </row>
    <row r="8" spans="10:14">
      <c r="J8" t="s">
        <v>1686</v>
      </c>
      <c r="K8" s="323"/>
    </row>
    <row r="9" spans="10:14">
      <c r="K9" s="323"/>
    </row>
    <row r="10" spans="10:14">
      <c r="K10" s="323"/>
    </row>
    <row r="11" spans="10:14">
      <c r="K11" s="323"/>
    </row>
    <row r="12" spans="10:14">
      <c r="K12" s="323"/>
    </row>
    <row r="13" spans="10:14">
      <c r="K13" s="323"/>
    </row>
    <row r="14" spans="10:14">
      <c r="K14" s="323"/>
    </row>
    <row r="15" spans="10:14">
      <c r="K15" s="323"/>
    </row>
    <row r="16" spans="10:14">
      <c r="K16" s="324"/>
      <c r="L16" s="68"/>
      <c r="M16" s="68"/>
      <c r="N16" s="68"/>
    </row>
    <row r="17" spans="14:14">
      <c r="N17" t="s">
        <v>1687</v>
      </c>
    </row>
    <row r="39" spans="2:2" s="1" customFormat="1">
      <c r="B39" s="1" t="s">
        <v>1819</v>
      </c>
    </row>
    <row r="120" spans="1:10">
      <c r="A120" s="211" t="s">
        <v>2821</v>
      </c>
      <c r="H120" t="s">
        <v>1823</v>
      </c>
      <c r="J120">
        <v>0.6</v>
      </c>
    </row>
    <row r="121" spans="1:10">
      <c r="C121" t="s">
        <v>1820</v>
      </c>
      <c r="D121">
        <v>2</v>
      </c>
      <c r="F121" t="s">
        <v>2822</v>
      </c>
    </row>
    <row r="122" spans="1:10">
      <c r="H122" t="s">
        <v>1825</v>
      </c>
      <c r="J122">
        <f>D121/(D121+D125)</f>
        <v>0.5</v>
      </c>
    </row>
    <row r="123" spans="1:10">
      <c r="C123" t="s">
        <v>1821</v>
      </c>
      <c r="D123">
        <v>1</v>
      </c>
      <c r="F123" t="s">
        <v>2823</v>
      </c>
    </row>
    <row r="124" spans="1:10">
      <c r="H124" t="s">
        <v>1824</v>
      </c>
      <c r="J124">
        <f>D121/(D121+D123)</f>
        <v>0.66666666666666663</v>
      </c>
    </row>
    <row r="125" spans="1:10">
      <c r="C125" t="s">
        <v>1822</v>
      </c>
      <c r="D125">
        <v>2</v>
      </c>
      <c r="F125" t="s">
        <v>2824</v>
      </c>
    </row>
  </sheetData>
  <phoneticPr fontId="5" type="noConversion"/>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B1:G57"/>
  <sheetViews>
    <sheetView topLeftCell="A10" zoomScale="130" zoomScaleNormal="130" workbookViewId="0">
      <selection activeCell="F51" sqref="F51"/>
    </sheetView>
  </sheetViews>
  <sheetFormatPr defaultRowHeight="16.5"/>
  <sheetData>
    <row r="1" spans="2:7">
      <c r="D1" t="s">
        <v>624</v>
      </c>
    </row>
    <row r="2" spans="2:7" s="1" customFormat="1">
      <c r="B2" s="1" t="s">
        <v>618</v>
      </c>
    </row>
    <row r="8" spans="2:7" s="1" customFormat="1">
      <c r="B8" s="1" t="s">
        <v>619</v>
      </c>
      <c r="D8" s="1" t="s">
        <v>621</v>
      </c>
      <c r="E8" s="1" t="s">
        <v>620</v>
      </c>
    </row>
    <row r="9" spans="2:7">
      <c r="D9" t="s">
        <v>1529</v>
      </c>
      <c r="G9" t="s">
        <v>622</v>
      </c>
    </row>
    <row r="11" spans="2:7" ht="17.25">
      <c r="B11" s="316" t="s">
        <v>1620</v>
      </c>
    </row>
    <row r="13" spans="2:7" ht="17.25">
      <c r="B13" s="316" t="s">
        <v>1621</v>
      </c>
    </row>
    <row r="15" spans="2:7">
      <c r="B15" s="317" t="s">
        <v>1622</v>
      </c>
    </row>
    <row r="16" spans="2:7">
      <c r="B16" s="293" t="s">
        <v>1623</v>
      </c>
    </row>
    <row r="17" spans="2:2">
      <c r="B17" s="294" t="s">
        <v>1624</v>
      </c>
    </row>
    <row r="18" spans="2:2">
      <c r="B18" s="129"/>
    </row>
    <row r="19" spans="2:2">
      <c r="B19" s="294" t="s">
        <v>1625</v>
      </c>
    </row>
    <row r="21" spans="2:2">
      <c r="B21" s="293" t="s">
        <v>1626</v>
      </c>
    </row>
    <row r="22" spans="2:2">
      <c r="B22" s="294" t="s">
        <v>1627</v>
      </c>
    </row>
    <row r="23" spans="2:2">
      <c r="B23" s="129"/>
    </row>
    <row r="24" spans="2:2">
      <c r="B24" s="294" t="s">
        <v>1628</v>
      </c>
    </row>
    <row r="26" spans="2:2">
      <c r="B26" s="293" t="s">
        <v>1629</v>
      </c>
    </row>
    <row r="27" spans="2:2">
      <c r="B27" s="292" t="s">
        <v>1630</v>
      </c>
    </row>
    <row r="28" spans="2:2">
      <c r="B28" s="294" t="s">
        <v>1631</v>
      </c>
    </row>
    <row r="29" spans="2:2">
      <c r="B29" s="318" t="s">
        <v>1632</v>
      </c>
    </row>
    <row r="30" spans="2:2">
      <c r="B30" s="318" t="s">
        <v>1633</v>
      </c>
    </row>
    <row r="31" spans="2:2">
      <c r="B31" s="318" t="s">
        <v>1634</v>
      </c>
    </row>
    <row r="32" spans="2:2">
      <c r="B32" s="292" t="s">
        <v>1635</v>
      </c>
    </row>
    <row r="33" spans="2:2">
      <c r="B33" s="293" t="s">
        <v>1636</v>
      </c>
    </row>
    <row r="34" spans="2:2">
      <c r="B34" s="292" t="s">
        <v>1637</v>
      </c>
    </row>
    <row r="35" spans="2:2">
      <c r="B35" s="294" t="s">
        <v>1638</v>
      </c>
    </row>
    <row r="36" spans="2:2">
      <c r="B36" s="178"/>
    </row>
    <row r="37" spans="2:2">
      <c r="B37" s="318" t="s">
        <v>1639</v>
      </c>
    </row>
    <row r="38" spans="2:2">
      <c r="B38" s="318" t="s">
        <v>1640</v>
      </c>
    </row>
    <row r="39" spans="2:2">
      <c r="B39" s="294" t="s">
        <v>1641</v>
      </c>
    </row>
    <row r="40" spans="2:2">
      <c r="B40" s="178"/>
    </row>
    <row r="41" spans="2:2">
      <c r="B41" s="319" t="s">
        <v>1642</v>
      </c>
    </row>
    <row r="42" spans="2:2">
      <c r="B42" s="319" t="s">
        <v>1643</v>
      </c>
    </row>
    <row r="43" spans="2:2">
      <c r="B43" s="319" t="s">
        <v>1644</v>
      </c>
    </row>
    <row r="44" spans="2:2">
      <c r="B44" s="293" t="s">
        <v>615</v>
      </c>
    </row>
    <row r="45" spans="2:2">
      <c r="B45" s="294" t="s">
        <v>1645</v>
      </c>
    </row>
    <row r="46" spans="2:2">
      <c r="B46" s="294" t="s">
        <v>1646</v>
      </c>
    </row>
    <row r="47" spans="2:2">
      <c r="B47" s="294" t="s">
        <v>1647</v>
      </c>
    </row>
    <row r="48" spans="2:2">
      <c r="B48" s="294" t="s">
        <v>1648</v>
      </c>
    </row>
    <row r="50" spans="2:2">
      <c r="B50" s="292" t="s">
        <v>1649</v>
      </c>
    </row>
    <row r="51" spans="2:2">
      <c r="B51" s="293" t="s">
        <v>1650</v>
      </c>
    </row>
    <row r="52" spans="2:2">
      <c r="B52" s="294" t="s">
        <v>1651</v>
      </c>
    </row>
    <row r="53" spans="2:2">
      <c r="B53" s="293" t="s">
        <v>1652</v>
      </c>
    </row>
    <row r="54" spans="2:2">
      <c r="B54" s="320" t="s">
        <v>1653</v>
      </c>
    </row>
    <row r="55" spans="2:2">
      <c r="B55" s="292" t="s">
        <v>1654</v>
      </c>
    </row>
    <row r="57" spans="2:2" s="1" customFormat="1">
      <c r="B57" s="1" t="s">
        <v>623</v>
      </c>
    </row>
  </sheetData>
  <phoneticPr fontId="5" type="noConversion"/>
  <pageMargins left="0.7" right="0.7" top="0.75" bottom="0.75" header="0.3" footer="0.3"/>
  <pageSetup paperSize="9"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2:R122"/>
  <sheetViews>
    <sheetView topLeftCell="A115" zoomScale="85" zoomScaleNormal="85" workbookViewId="0">
      <selection activeCell="C121" sqref="C121"/>
    </sheetView>
  </sheetViews>
  <sheetFormatPr defaultRowHeight="16.5"/>
  <sheetData>
    <row r="2" spans="1:6">
      <c r="B2" t="s">
        <v>625</v>
      </c>
    </row>
    <row r="3" spans="1:6">
      <c r="A3" s="1" t="s">
        <v>2707</v>
      </c>
    </row>
    <row r="4" spans="1:6">
      <c r="B4" t="s">
        <v>626</v>
      </c>
    </row>
    <row r="5" spans="1:6">
      <c r="B5" t="s">
        <v>2708</v>
      </c>
    </row>
    <row r="7" spans="1:6" ht="17.25" thickBot="1">
      <c r="A7" s="1" t="s">
        <v>2706</v>
      </c>
    </row>
    <row r="8" spans="1:6" ht="17.25" thickBot="1">
      <c r="B8" s="8" t="s">
        <v>2711</v>
      </c>
    </row>
    <row r="9" spans="1:6" ht="17.25" thickBot="1">
      <c r="B9" s="8" t="s">
        <v>2704</v>
      </c>
    </row>
    <row r="10" spans="1:6" ht="17.25" thickBot="1">
      <c r="B10" s="8" t="s">
        <v>2705</v>
      </c>
    </row>
    <row r="12" spans="1:6" ht="17.25" thickBot="1"/>
    <row r="13" spans="1:6" ht="17.25" thickBot="1">
      <c r="A13" s="1" t="s">
        <v>2709</v>
      </c>
      <c r="B13" s="8"/>
      <c r="C13" s="466" t="s">
        <v>2712</v>
      </c>
    </row>
    <row r="14" spans="1:6">
      <c r="B14" s="465"/>
    </row>
    <row r="15" spans="1:6" ht="17.25">
      <c r="C15" s="467" t="s">
        <v>2710</v>
      </c>
    </row>
    <row r="16" spans="1:6">
      <c r="F16" s="4"/>
    </row>
    <row r="17" spans="3:3" ht="17.25">
      <c r="C17" s="467" t="s">
        <v>2713</v>
      </c>
    </row>
    <row r="19" spans="3:3">
      <c r="C19" s="4" t="s">
        <v>2714</v>
      </c>
    </row>
    <row r="22" spans="3:3" ht="17.25">
      <c r="C22" s="467" t="s">
        <v>2715</v>
      </c>
    </row>
    <row r="38" spans="1:18">
      <c r="R38" t="s">
        <v>2724</v>
      </c>
    </row>
    <row r="39" spans="1:18">
      <c r="R39" t="s">
        <v>2725</v>
      </c>
    </row>
    <row r="40" spans="1:18">
      <c r="A40" s="1" t="s">
        <v>2716</v>
      </c>
      <c r="C40" t="s">
        <v>2717</v>
      </c>
      <c r="R40" t="s">
        <v>2726</v>
      </c>
    </row>
    <row r="42" spans="1:18">
      <c r="F42" s="90" t="s">
        <v>2718</v>
      </c>
      <c r="G42" t="s">
        <v>2719</v>
      </c>
      <c r="J42" t="s">
        <v>2720</v>
      </c>
    </row>
    <row r="43" spans="1:18">
      <c r="F43" s="90" t="s">
        <v>2721</v>
      </c>
      <c r="J43" s="3" t="s">
        <v>2723</v>
      </c>
    </row>
    <row r="45" spans="1:18">
      <c r="F45" s="127" t="s">
        <v>2722</v>
      </c>
    </row>
    <row r="46" spans="1:18">
      <c r="F46" t="s">
        <v>2742</v>
      </c>
      <c r="O46" t="s">
        <v>2743</v>
      </c>
    </row>
    <row r="47" spans="1:18">
      <c r="O47" t="s">
        <v>2744</v>
      </c>
    </row>
    <row r="51" spans="3:15">
      <c r="C51" t="s">
        <v>2727</v>
      </c>
    </row>
    <row r="52" spans="3:15">
      <c r="G52" t="s">
        <v>2728</v>
      </c>
    </row>
    <row r="53" spans="3:15">
      <c r="G53" t="s">
        <v>2729</v>
      </c>
    </row>
    <row r="55" spans="3:15">
      <c r="G55" t="s">
        <v>2730</v>
      </c>
      <c r="M55" t="s">
        <v>2734</v>
      </c>
    </row>
    <row r="56" spans="3:15">
      <c r="M56" t="s">
        <v>2735</v>
      </c>
    </row>
    <row r="57" spans="3:15">
      <c r="C57" t="s">
        <v>2731</v>
      </c>
      <c r="M57" t="s">
        <v>2736</v>
      </c>
      <c r="O57" t="s">
        <v>2737</v>
      </c>
    </row>
    <row r="58" spans="3:15">
      <c r="M58" t="s">
        <v>2738</v>
      </c>
      <c r="O58" t="s">
        <v>2739</v>
      </c>
    </row>
    <row r="59" spans="3:15">
      <c r="M59" t="s">
        <v>2740</v>
      </c>
      <c r="O59" t="s">
        <v>2741</v>
      </c>
    </row>
    <row r="65" spans="1:4" ht="20.25">
      <c r="A65" s="1" t="s">
        <v>2732</v>
      </c>
      <c r="C65" s="71" t="s">
        <v>2733</v>
      </c>
    </row>
    <row r="75" spans="1:4">
      <c r="A75" s="1" t="s">
        <v>2745</v>
      </c>
      <c r="D75" t="s">
        <v>2746</v>
      </c>
    </row>
    <row r="78" spans="1:4">
      <c r="D78" t="s">
        <v>2747</v>
      </c>
    </row>
    <row r="82" spans="4:9">
      <c r="D82" t="s">
        <v>2748</v>
      </c>
      <c r="I82" t="s">
        <v>2749</v>
      </c>
    </row>
    <row r="83" spans="4:9">
      <c r="I83" t="s">
        <v>2750</v>
      </c>
    </row>
    <row r="84" spans="4:9">
      <c r="I84" t="s">
        <v>2751</v>
      </c>
    </row>
    <row r="88" spans="4:9">
      <c r="D88" t="s">
        <v>2752</v>
      </c>
    </row>
    <row r="90" spans="4:9">
      <c r="D90" t="s">
        <v>2753</v>
      </c>
    </row>
    <row r="94" spans="4:9">
      <c r="D94" t="s">
        <v>2754</v>
      </c>
    </row>
    <row r="98" spans="1:4">
      <c r="A98" s="1" t="s">
        <v>2755</v>
      </c>
      <c r="D98" t="s">
        <v>2756</v>
      </c>
    </row>
    <row r="99" spans="1:4">
      <c r="D99" t="s">
        <v>2757</v>
      </c>
    </row>
    <row r="103" spans="1:4">
      <c r="A103" s="1" t="s">
        <v>2758</v>
      </c>
      <c r="D103" t="s">
        <v>2759</v>
      </c>
    </row>
    <row r="110" spans="1:4">
      <c r="A110" s="1" t="s">
        <v>2760</v>
      </c>
      <c r="D110" t="s">
        <v>2761</v>
      </c>
    </row>
    <row r="111" spans="1:4">
      <c r="D111" t="s">
        <v>2762</v>
      </c>
    </row>
    <row r="116" spans="1:4">
      <c r="A116" s="1" t="s">
        <v>2763</v>
      </c>
      <c r="D116" t="s">
        <v>2764</v>
      </c>
    </row>
    <row r="121" spans="1:4">
      <c r="A121" s="1" t="s">
        <v>2765</v>
      </c>
      <c r="D121" t="s">
        <v>2766</v>
      </c>
    </row>
    <row r="122" spans="1:4">
      <c r="D122" t="s">
        <v>2767</v>
      </c>
    </row>
  </sheetData>
  <phoneticPr fontId="5" type="noConversion"/>
  <hyperlinks>
    <hyperlink ref="C19" r:id="rId1" tooltip="https://www.mongodb.com/try/download/shell" display="https://www.mongodb.com/try/download/shell" xr:uid="{00000000-0004-0000-2900-000000000000}"/>
  </hyperlinks>
  <pageMargins left="0.7" right="0.7" top="0.75" bottom="0.75" header="0.3" footer="0.3"/>
  <pageSetup paperSize="9" orientation="portrait" r:id="rId2"/>
  <drawing r:id="rId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B2:D16"/>
  <sheetViews>
    <sheetView topLeftCell="A10" zoomScale="190" zoomScaleNormal="190" workbookViewId="0">
      <selection activeCell="C15" sqref="C15:C16"/>
    </sheetView>
  </sheetViews>
  <sheetFormatPr defaultRowHeight="16.5"/>
  <sheetData>
    <row r="2" spans="2:4">
      <c r="B2" s="435" t="s">
        <v>2474</v>
      </c>
    </row>
    <row r="4" spans="2:4">
      <c r="B4" s="436" t="s">
        <v>2473</v>
      </c>
    </row>
    <row r="6" spans="2:4">
      <c r="B6" t="s">
        <v>2475</v>
      </c>
    </row>
    <row r="7" spans="2:4">
      <c r="B7" t="s">
        <v>2476</v>
      </c>
    </row>
    <row r="8" spans="2:4">
      <c r="B8" t="s">
        <v>2477</v>
      </c>
    </row>
    <row r="11" spans="2:4">
      <c r="B11">
        <v>1</v>
      </c>
      <c r="C11">
        <v>1</v>
      </c>
      <c r="D11">
        <v>1</v>
      </c>
    </row>
    <row r="12" spans="2:4">
      <c r="B12">
        <v>0</v>
      </c>
      <c r="C12">
        <v>0</v>
      </c>
    </row>
    <row r="14" spans="2:4">
      <c r="B14">
        <v>1</v>
      </c>
      <c r="C14">
        <v>0</v>
      </c>
    </row>
    <row r="15" spans="2:4">
      <c r="B15">
        <v>1</v>
      </c>
      <c r="C15">
        <v>0</v>
      </c>
    </row>
    <row r="16" spans="2:4">
      <c r="B16">
        <v>1</v>
      </c>
      <c r="C16">
        <v>0</v>
      </c>
    </row>
  </sheetData>
  <phoneticPr fontId="5" type="noConversion"/>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2:AJ104"/>
  <sheetViews>
    <sheetView topLeftCell="A58" zoomScale="115" zoomScaleNormal="115" workbookViewId="0">
      <selection activeCell="AC59" sqref="AC59"/>
    </sheetView>
  </sheetViews>
  <sheetFormatPr defaultRowHeight="16.5"/>
  <cols>
    <col min="2" max="14" width="3.875" customWidth="1"/>
    <col min="15" max="22" width="3.625" customWidth="1"/>
    <col min="23" max="25" width="3.5" customWidth="1"/>
    <col min="26" max="28" width="3" customWidth="1"/>
    <col min="29" max="36" width="3.375" customWidth="1"/>
  </cols>
  <sheetData>
    <row r="2" spans="2:9" s="1" customFormat="1">
      <c r="B2" s="1" t="s">
        <v>634</v>
      </c>
    </row>
    <row r="4" spans="2:9" ht="16.5" customHeight="1">
      <c r="B4" s="524" t="s">
        <v>627</v>
      </c>
      <c r="C4" s="524"/>
      <c r="D4" s="524"/>
      <c r="E4" s="524"/>
      <c r="F4" s="524"/>
      <c r="G4" s="524"/>
      <c r="H4" s="524"/>
      <c r="I4" s="524"/>
    </row>
    <row r="5" spans="2:9">
      <c r="B5" s="181">
        <v>3</v>
      </c>
      <c r="C5" s="181">
        <v>2</v>
      </c>
      <c r="D5" s="181">
        <v>4</v>
      </c>
      <c r="E5" s="181">
        <v>5</v>
      </c>
      <c r="F5" s="182">
        <v>1</v>
      </c>
      <c r="G5" s="182">
        <v>20</v>
      </c>
      <c r="H5" s="182">
        <v>2</v>
      </c>
      <c r="I5" s="181">
        <v>2</v>
      </c>
    </row>
    <row r="8" spans="2:9">
      <c r="B8" s="183" t="s">
        <v>628</v>
      </c>
      <c r="C8" s="184"/>
      <c r="D8" s="184">
        <v>0.3</v>
      </c>
      <c r="E8" s="184">
        <v>0.4</v>
      </c>
      <c r="F8" s="184">
        <v>0.3</v>
      </c>
    </row>
    <row r="9" spans="2:9">
      <c r="B9" s="185" t="s">
        <v>629</v>
      </c>
    </row>
    <row r="11" spans="2:9">
      <c r="B11" s="25" t="s">
        <v>630</v>
      </c>
    </row>
    <row r="12" spans="2:9">
      <c r="B12" s="180" t="s">
        <v>631</v>
      </c>
      <c r="C12">
        <f t="shared" ref="C12:H12" si="0">B5*$D$8+C5*$E$8+D5*$F$8</f>
        <v>2.9</v>
      </c>
      <c r="D12">
        <f t="shared" si="0"/>
        <v>3.7</v>
      </c>
      <c r="E12">
        <f t="shared" si="0"/>
        <v>3.5</v>
      </c>
      <c r="F12">
        <f t="shared" si="0"/>
        <v>7.9</v>
      </c>
      <c r="G12" s="188">
        <f t="shared" si="0"/>
        <v>8.9</v>
      </c>
      <c r="H12">
        <f t="shared" si="0"/>
        <v>7.3999999999999995</v>
      </c>
      <c r="I12" s="180" t="s">
        <v>631</v>
      </c>
    </row>
    <row r="16" spans="2:9" ht="16.5" customHeight="1">
      <c r="B16" s="524" t="s">
        <v>632</v>
      </c>
      <c r="C16" s="524"/>
      <c r="D16" s="524"/>
      <c r="E16" s="524"/>
      <c r="F16" s="524"/>
      <c r="G16" s="524"/>
      <c r="H16" s="524"/>
    </row>
    <row r="19" spans="1:10">
      <c r="A19" s="180">
        <v>0</v>
      </c>
      <c r="B19" s="181">
        <v>3</v>
      </c>
      <c r="C19" s="181">
        <v>2</v>
      </c>
      <c r="D19" s="181">
        <v>4</v>
      </c>
      <c r="E19" s="181">
        <v>5</v>
      </c>
      <c r="F19" s="182">
        <v>1</v>
      </c>
      <c r="G19" s="182">
        <v>20</v>
      </c>
      <c r="H19" s="182">
        <v>2</v>
      </c>
      <c r="I19" s="181">
        <v>2</v>
      </c>
      <c r="J19" s="182">
        <v>0</v>
      </c>
    </row>
    <row r="22" spans="1:10">
      <c r="B22" s="183" t="s">
        <v>628</v>
      </c>
      <c r="C22" s="184"/>
      <c r="D22" s="184">
        <v>0.3</v>
      </c>
      <c r="E22" s="184">
        <v>0.4</v>
      </c>
      <c r="F22" s="184">
        <v>0.3</v>
      </c>
    </row>
    <row r="24" spans="1:10">
      <c r="B24" s="25" t="s">
        <v>630</v>
      </c>
    </row>
    <row r="25" spans="1:10">
      <c r="B25">
        <f>A19*$D$22+B19*$E$22+C19*$F$22</f>
        <v>1.8000000000000003</v>
      </c>
      <c r="C25">
        <f t="shared" ref="C25:I25" si="1">B19*$D$22+C19*$E$22+D19*$F$22</f>
        <v>2.9</v>
      </c>
      <c r="D25">
        <f t="shared" si="1"/>
        <v>3.7</v>
      </c>
      <c r="E25">
        <f t="shared" si="1"/>
        <v>3.5</v>
      </c>
      <c r="F25">
        <f t="shared" si="1"/>
        <v>7.9</v>
      </c>
      <c r="G25">
        <f t="shared" si="1"/>
        <v>8.9</v>
      </c>
      <c r="H25">
        <f t="shared" si="1"/>
        <v>7.3999999999999995</v>
      </c>
      <c r="I25">
        <f t="shared" si="1"/>
        <v>1.4</v>
      </c>
    </row>
    <row r="32" spans="1:10">
      <c r="C32" s="524" t="s">
        <v>627</v>
      </c>
      <c r="D32" s="524"/>
      <c r="E32" s="524"/>
      <c r="F32" s="524"/>
      <c r="G32" s="524"/>
      <c r="H32" s="524"/>
      <c r="I32" s="524"/>
      <c r="J32" s="524"/>
    </row>
    <row r="33" spans="2:10">
      <c r="C33" s="181">
        <v>3</v>
      </c>
      <c r="D33" s="181">
        <v>2</v>
      </c>
      <c r="E33" s="181">
        <v>4</v>
      </c>
      <c r="F33" s="181">
        <v>5</v>
      </c>
      <c r="G33" s="182">
        <v>1</v>
      </c>
      <c r="H33" s="182">
        <v>20</v>
      </c>
      <c r="I33" s="182">
        <v>2</v>
      </c>
      <c r="J33" s="181">
        <v>2</v>
      </c>
    </row>
    <row r="36" spans="2:10">
      <c r="C36" s="183" t="s">
        <v>628</v>
      </c>
      <c r="D36" s="184"/>
      <c r="E36" s="184">
        <v>0.3</v>
      </c>
      <c r="F36" s="184">
        <v>0.4</v>
      </c>
      <c r="G36" s="184">
        <v>0.3</v>
      </c>
    </row>
    <row r="37" spans="2:10">
      <c r="C37" s="185" t="s">
        <v>629</v>
      </c>
    </row>
    <row r="39" spans="2:10">
      <c r="C39" s="25" t="s">
        <v>630</v>
      </c>
    </row>
    <row r="40" spans="2:10">
      <c r="C40" s="180" t="s">
        <v>631</v>
      </c>
      <c r="D40">
        <f t="shared" ref="D40:I40" si="2">C33*$D$8+D33*$E$8+E33*$F$8</f>
        <v>2.9</v>
      </c>
      <c r="E40">
        <f t="shared" si="2"/>
        <v>3.7</v>
      </c>
      <c r="F40">
        <f t="shared" si="2"/>
        <v>3.5</v>
      </c>
      <c r="G40">
        <f t="shared" si="2"/>
        <v>7.9</v>
      </c>
      <c r="H40" s="188">
        <f t="shared" si="2"/>
        <v>8.9</v>
      </c>
      <c r="I40">
        <f t="shared" si="2"/>
        <v>7.3999999999999995</v>
      </c>
      <c r="J40" s="180" t="s">
        <v>631</v>
      </c>
    </row>
    <row r="43" spans="2:10">
      <c r="B43" t="s">
        <v>633</v>
      </c>
      <c r="C43">
        <v>0.2</v>
      </c>
    </row>
    <row r="45" spans="2:10">
      <c r="D45">
        <f t="shared" ref="D45:I45" si="3">D40+$C$43</f>
        <v>3.1</v>
      </c>
      <c r="E45">
        <f t="shared" si="3"/>
        <v>3.9000000000000004</v>
      </c>
      <c r="F45">
        <f t="shared" si="3"/>
        <v>3.7</v>
      </c>
      <c r="G45">
        <f t="shared" si="3"/>
        <v>8.1</v>
      </c>
      <c r="H45" s="188">
        <f t="shared" si="3"/>
        <v>9.1</v>
      </c>
      <c r="I45">
        <f t="shared" si="3"/>
        <v>7.6</v>
      </c>
    </row>
    <row r="50" spans="1:24" s="1" customFormat="1">
      <c r="B50" s="1" t="s">
        <v>635</v>
      </c>
    </row>
    <row r="52" spans="1:24" ht="16.5" customHeight="1">
      <c r="A52" t="s">
        <v>636</v>
      </c>
      <c r="P52" s="179"/>
      <c r="Q52" s="524" t="s">
        <v>630</v>
      </c>
      <c r="R52" s="524"/>
      <c r="S52" s="524"/>
      <c r="T52" s="524"/>
      <c r="U52" s="524"/>
    </row>
    <row r="53" spans="1:24">
      <c r="B53" s="180">
        <v>0</v>
      </c>
      <c r="C53" s="180">
        <v>0</v>
      </c>
      <c r="D53" s="180">
        <v>0</v>
      </c>
      <c r="E53" s="180">
        <v>0</v>
      </c>
      <c r="F53" s="180">
        <v>0</v>
      </c>
      <c r="G53" s="180">
        <v>0</v>
      </c>
      <c r="H53" s="180">
        <v>0</v>
      </c>
      <c r="I53" s="180">
        <v>0</v>
      </c>
      <c r="J53" s="180">
        <v>0</v>
      </c>
      <c r="K53" s="180">
        <v>0</v>
      </c>
    </row>
    <row r="54" spans="1:24">
      <c r="B54" s="180">
        <v>0</v>
      </c>
      <c r="C54" s="184">
        <v>2</v>
      </c>
      <c r="D54" s="184">
        <v>2</v>
      </c>
      <c r="E54" s="184">
        <v>2</v>
      </c>
      <c r="F54" s="184">
        <v>2</v>
      </c>
      <c r="G54" s="184">
        <v>2</v>
      </c>
      <c r="H54" s="184">
        <v>1</v>
      </c>
      <c r="I54" s="184">
        <v>1</v>
      </c>
      <c r="J54" s="184">
        <v>1</v>
      </c>
      <c r="K54" s="180">
        <v>0</v>
      </c>
      <c r="L54" s="180"/>
      <c r="M54" s="180"/>
      <c r="N54" s="180"/>
      <c r="Q54" s="190">
        <f>B53*$M$56+C53*$N$56+D53*$O$56+B54*$M$57+C54*$N$57+D54*$O$57+B55*$M$58+C55*$N$58+D55*$O$58</f>
        <v>4</v>
      </c>
      <c r="R54" s="190">
        <f t="shared" ref="R54:X54" si="4">C53*$M$56+D53*$N$56+E53*$O$56+C54*$M$57+D54*$N$57+E54*$O$57+C55*$M$58+D55*$N$58+E55*$O$58</f>
        <v>0</v>
      </c>
      <c r="S54" s="190">
        <f t="shared" si="4"/>
        <v>0</v>
      </c>
      <c r="T54" s="190">
        <f t="shared" si="4"/>
        <v>0</v>
      </c>
      <c r="U54" s="190">
        <f t="shared" si="4"/>
        <v>-2</v>
      </c>
      <c r="V54" s="190">
        <f t="shared" si="4"/>
        <v>-2</v>
      </c>
      <c r="W54" s="190">
        <f t="shared" si="4"/>
        <v>0</v>
      </c>
      <c r="X54" s="190">
        <f t="shared" si="4"/>
        <v>-2</v>
      </c>
    </row>
    <row r="55" spans="1:24" ht="16.5" customHeight="1">
      <c r="B55" s="180">
        <v>0</v>
      </c>
      <c r="C55" s="184">
        <v>2</v>
      </c>
      <c r="D55" s="184">
        <v>2</v>
      </c>
      <c r="E55" s="184">
        <v>2</v>
      </c>
      <c r="F55" s="184">
        <v>2</v>
      </c>
      <c r="G55" s="184">
        <v>2</v>
      </c>
      <c r="H55" s="184">
        <v>1</v>
      </c>
      <c r="I55" s="184">
        <v>1</v>
      </c>
      <c r="J55" s="184">
        <v>1</v>
      </c>
      <c r="K55" s="180">
        <v>0</v>
      </c>
      <c r="M55" s="189" t="s">
        <v>628</v>
      </c>
      <c r="N55" s="189"/>
      <c r="O55" s="189"/>
      <c r="Q55" s="190">
        <f t="shared" ref="Q55:Q61" si="5">B54*$M$56+C54*$N$56+D54*$O$56+B55*$M$57+C55*$N$57+D55*$O$57+B56*$M$58+C56*$N$58+D56*$O$58</f>
        <v>6</v>
      </c>
      <c r="R55" s="190">
        <f t="shared" ref="R55:R61" si="6">C54*$M$56+D54*$N$56+E54*$O$56+C55*$M$57+D55*$N$57+E55*$O$57+C56*$M$58+D56*$N$58+E56*$O$58</f>
        <v>0</v>
      </c>
      <c r="S55" s="190">
        <f t="shared" ref="S55:S61" si="7">D54*$M$56+E54*$N$56+F54*$O$56+D55*$M$57+E55*$N$57+F55*$O$57+D56*$M$58+E56*$N$58+F56*$O$58</f>
        <v>0</v>
      </c>
      <c r="T55" s="190">
        <f t="shared" ref="T55:T61" si="8">E54*$M$56+F54*$N$56+G54*$O$56+E55*$M$57+F55*$N$57+G55*$O$57+E56*$M$58+F56*$N$58+G56*$O$58</f>
        <v>0</v>
      </c>
      <c r="U55" s="190">
        <f t="shared" ref="U55:U61" si="9">F54*$M$56+G54*$N$56+H54*$O$56+F55*$M$57+G55*$N$57+H55*$O$57+F56*$M$58+G56*$N$58+H56*$O$58</f>
        <v>-3</v>
      </c>
      <c r="V55" s="190">
        <f t="shared" ref="V55:V61" si="10">G54*$M$56+H54*$N$56+I54*$O$56+G55*$M$57+H55*$N$57+I55*$O$57+G56*$M$58+H56*$N$58+I56*$O$58</f>
        <v>-3</v>
      </c>
      <c r="W55" s="190">
        <f t="shared" ref="W55:W61" si="11">H54*$M$56+I54*$N$56+J54*$O$56+H55*$M$57+I55*$N$57+J55*$O$57+H56*$M$58+I56*$N$58+J56*$O$58</f>
        <v>0</v>
      </c>
      <c r="X55" s="190">
        <f t="shared" ref="X55:X61" si="12">I54*$M$56+J54*$N$56+K54*$O$56+I55*$M$57+J55*$N$57+K55*$O$57+I56*$M$58+J56*$N$58+K56*$O$58</f>
        <v>-3</v>
      </c>
    </row>
    <row r="56" spans="1:24">
      <c r="B56" s="180">
        <v>0</v>
      </c>
      <c r="C56" s="184">
        <v>2</v>
      </c>
      <c r="D56" s="184">
        <v>2</v>
      </c>
      <c r="E56" s="184">
        <v>2</v>
      </c>
      <c r="F56" s="184">
        <v>2</v>
      </c>
      <c r="G56" s="184">
        <v>2</v>
      </c>
      <c r="H56" s="184">
        <v>1</v>
      </c>
      <c r="I56" s="184">
        <v>1</v>
      </c>
      <c r="J56" s="184">
        <v>1</v>
      </c>
      <c r="K56" s="180">
        <v>0</v>
      </c>
      <c r="M56" s="184">
        <v>-1</v>
      </c>
      <c r="N56" s="184">
        <v>0</v>
      </c>
      <c r="O56" s="184">
        <v>1</v>
      </c>
      <c r="Q56" s="190">
        <f t="shared" si="5"/>
        <v>6</v>
      </c>
      <c r="R56" s="190">
        <f t="shared" si="6"/>
        <v>0</v>
      </c>
      <c r="S56" s="190">
        <f t="shared" si="7"/>
        <v>0</v>
      </c>
      <c r="T56" s="190">
        <f t="shared" si="8"/>
        <v>0</v>
      </c>
      <c r="U56" s="190">
        <f t="shared" si="9"/>
        <v>-3</v>
      </c>
      <c r="V56" s="190">
        <f t="shared" si="10"/>
        <v>-3</v>
      </c>
      <c r="W56" s="190">
        <f t="shared" si="11"/>
        <v>0</v>
      </c>
      <c r="X56" s="190">
        <f t="shared" si="12"/>
        <v>-3</v>
      </c>
    </row>
    <row r="57" spans="1:24">
      <c r="B57" s="180">
        <v>0</v>
      </c>
      <c r="C57" s="184">
        <v>2</v>
      </c>
      <c r="D57" s="184">
        <v>2</v>
      </c>
      <c r="E57" s="184">
        <v>2</v>
      </c>
      <c r="F57" s="184">
        <v>2</v>
      </c>
      <c r="G57" s="184">
        <v>2</v>
      </c>
      <c r="H57" s="184">
        <v>1</v>
      </c>
      <c r="I57" s="184">
        <v>1</v>
      </c>
      <c r="J57" s="184">
        <v>1</v>
      </c>
      <c r="K57" s="180">
        <v>0</v>
      </c>
      <c r="M57" s="184">
        <v>-1</v>
      </c>
      <c r="N57" s="184">
        <v>0</v>
      </c>
      <c r="O57" s="184">
        <v>1</v>
      </c>
      <c r="Q57" s="190">
        <f t="shared" si="5"/>
        <v>6</v>
      </c>
      <c r="R57" s="190">
        <f t="shared" si="6"/>
        <v>0</v>
      </c>
      <c r="S57" s="190">
        <f t="shared" si="7"/>
        <v>7</v>
      </c>
      <c r="T57" s="190">
        <f t="shared" si="8"/>
        <v>7</v>
      </c>
      <c r="U57" s="190">
        <f t="shared" si="9"/>
        <v>-2</v>
      </c>
      <c r="V57" s="190">
        <f t="shared" si="10"/>
        <v>-2</v>
      </c>
      <c r="W57" s="190">
        <f t="shared" si="11"/>
        <v>0</v>
      </c>
      <c r="X57" s="190">
        <f t="shared" si="12"/>
        <v>-11</v>
      </c>
    </row>
    <row r="58" spans="1:24">
      <c r="B58" s="180">
        <v>0</v>
      </c>
      <c r="C58" s="184">
        <v>2</v>
      </c>
      <c r="D58" s="193">
        <v>2</v>
      </c>
      <c r="E58" s="193">
        <v>2</v>
      </c>
      <c r="F58" s="193">
        <v>9</v>
      </c>
      <c r="G58" s="184">
        <v>9</v>
      </c>
      <c r="H58" s="184">
        <v>9</v>
      </c>
      <c r="I58" s="184">
        <v>9</v>
      </c>
      <c r="J58" s="184">
        <v>9</v>
      </c>
      <c r="K58" s="180">
        <v>0</v>
      </c>
      <c r="M58" s="184">
        <v>-1</v>
      </c>
      <c r="N58" s="184">
        <v>0</v>
      </c>
      <c r="O58" s="184">
        <v>1</v>
      </c>
      <c r="Q58" s="190">
        <f t="shared" si="5"/>
        <v>6</v>
      </c>
      <c r="R58" s="190">
        <f t="shared" si="6"/>
        <v>0</v>
      </c>
      <c r="S58" s="190">
        <f t="shared" si="7"/>
        <v>14</v>
      </c>
      <c r="T58" s="190">
        <f t="shared" si="8"/>
        <v>14</v>
      </c>
      <c r="U58" s="190">
        <f t="shared" si="9"/>
        <v>-1</v>
      </c>
      <c r="V58" s="190">
        <f t="shared" si="10"/>
        <v>-1</v>
      </c>
      <c r="W58" s="190">
        <f t="shared" si="11"/>
        <v>0</v>
      </c>
      <c r="X58" s="190">
        <f t="shared" si="12"/>
        <v>-19</v>
      </c>
    </row>
    <row r="59" spans="1:24">
      <c r="B59" s="180">
        <v>0</v>
      </c>
      <c r="C59" s="184">
        <v>2</v>
      </c>
      <c r="D59" s="193">
        <v>2</v>
      </c>
      <c r="E59" s="193">
        <v>2</v>
      </c>
      <c r="F59" s="193">
        <v>9</v>
      </c>
      <c r="G59" s="184">
        <v>9</v>
      </c>
      <c r="H59" s="184">
        <v>9</v>
      </c>
      <c r="I59" s="184">
        <v>9</v>
      </c>
      <c r="J59" s="184">
        <v>9</v>
      </c>
      <c r="K59" s="180">
        <v>0</v>
      </c>
      <c r="L59" s="180"/>
      <c r="M59" s="180"/>
      <c r="N59" s="180"/>
      <c r="Q59" s="190">
        <f t="shared" si="5"/>
        <v>6</v>
      </c>
      <c r="R59" s="190">
        <f t="shared" si="6"/>
        <v>0</v>
      </c>
      <c r="S59" s="192">
        <f t="shared" si="7"/>
        <v>21</v>
      </c>
      <c r="T59" s="190">
        <f t="shared" si="8"/>
        <v>21</v>
      </c>
      <c r="U59" s="190">
        <f t="shared" si="9"/>
        <v>0</v>
      </c>
      <c r="V59" s="190">
        <f t="shared" si="10"/>
        <v>0</v>
      </c>
      <c r="W59" s="190">
        <f t="shared" si="11"/>
        <v>0</v>
      </c>
      <c r="X59" s="190">
        <f t="shared" si="12"/>
        <v>-27</v>
      </c>
    </row>
    <row r="60" spans="1:24">
      <c r="B60" s="180">
        <v>0</v>
      </c>
      <c r="C60" s="184">
        <v>2</v>
      </c>
      <c r="D60" s="193">
        <v>2</v>
      </c>
      <c r="E60" s="193">
        <v>2</v>
      </c>
      <c r="F60" s="193">
        <v>9</v>
      </c>
      <c r="G60" s="184">
        <v>9</v>
      </c>
      <c r="H60" s="184">
        <v>9</v>
      </c>
      <c r="I60" s="184">
        <v>9</v>
      </c>
      <c r="J60" s="184">
        <v>9</v>
      </c>
      <c r="K60" s="180">
        <v>0</v>
      </c>
      <c r="L60" s="180"/>
      <c r="M60" s="180"/>
      <c r="N60" s="180"/>
      <c r="Q60" s="190">
        <f t="shared" si="5"/>
        <v>6</v>
      </c>
      <c r="R60" s="190">
        <f t="shared" si="6"/>
        <v>0</v>
      </c>
      <c r="S60" s="190">
        <f t="shared" si="7"/>
        <v>21</v>
      </c>
      <c r="T60" s="190">
        <f t="shared" si="8"/>
        <v>21</v>
      </c>
      <c r="U60" s="190">
        <f t="shared" si="9"/>
        <v>0</v>
      </c>
      <c r="V60" s="190">
        <f t="shared" si="10"/>
        <v>0</v>
      </c>
      <c r="W60" s="190">
        <f t="shared" si="11"/>
        <v>0</v>
      </c>
      <c r="X60" s="190">
        <f t="shared" si="12"/>
        <v>-27</v>
      </c>
    </row>
    <row r="61" spans="1:24">
      <c r="B61" s="180">
        <v>0</v>
      </c>
      <c r="C61" s="184">
        <v>2</v>
      </c>
      <c r="D61" s="184">
        <v>2</v>
      </c>
      <c r="E61" s="184">
        <v>2</v>
      </c>
      <c r="F61" s="184">
        <v>9</v>
      </c>
      <c r="G61" s="184">
        <v>9</v>
      </c>
      <c r="H61" s="184">
        <v>9</v>
      </c>
      <c r="I61" s="184">
        <v>9</v>
      </c>
      <c r="J61" s="184">
        <v>9</v>
      </c>
      <c r="K61" s="180">
        <v>0</v>
      </c>
      <c r="L61" s="180"/>
      <c r="M61" s="180"/>
      <c r="N61" s="180"/>
      <c r="Q61" s="190">
        <f t="shared" si="5"/>
        <v>4</v>
      </c>
      <c r="R61" s="190">
        <f t="shared" si="6"/>
        <v>0</v>
      </c>
      <c r="S61" s="190">
        <f t="shared" si="7"/>
        <v>14</v>
      </c>
      <c r="T61" s="190">
        <f t="shared" si="8"/>
        <v>14</v>
      </c>
      <c r="U61" s="190">
        <f t="shared" si="9"/>
        <v>0</v>
      </c>
      <c r="V61" s="190">
        <f t="shared" si="10"/>
        <v>0</v>
      </c>
      <c r="W61" s="190">
        <f t="shared" si="11"/>
        <v>0</v>
      </c>
      <c r="X61" s="190">
        <f t="shared" si="12"/>
        <v>-18</v>
      </c>
    </row>
    <row r="62" spans="1:24">
      <c r="B62" s="180">
        <v>0</v>
      </c>
      <c r="C62" s="180">
        <v>0</v>
      </c>
      <c r="D62" s="180">
        <v>0</v>
      </c>
      <c r="E62" s="180">
        <v>0</v>
      </c>
      <c r="F62" s="180">
        <v>0</v>
      </c>
      <c r="G62" s="180">
        <v>0</v>
      </c>
      <c r="H62" s="180">
        <v>0</v>
      </c>
      <c r="I62" s="180">
        <v>0</v>
      </c>
      <c r="J62" s="180">
        <v>0</v>
      </c>
      <c r="K62" s="180">
        <v>0</v>
      </c>
    </row>
    <row r="67" spans="1:24">
      <c r="A67" t="s">
        <v>666</v>
      </c>
      <c r="P67" s="179"/>
      <c r="Q67" s="524" t="s">
        <v>630</v>
      </c>
      <c r="R67" s="524"/>
      <c r="S67" s="524"/>
      <c r="T67" s="524"/>
      <c r="U67" s="524"/>
    </row>
    <row r="68" spans="1:24">
      <c r="B68" s="180"/>
      <c r="C68" s="180"/>
      <c r="D68" s="180"/>
      <c r="E68" s="180"/>
      <c r="F68" s="180"/>
      <c r="G68" s="180"/>
      <c r="H68" s="180"/>
      <c r="I68" s="180"/>
      <c r="J68" s="180"/>
      <c r="K68" s="180"/>
    </row>
    <row r="69" spans="1:24">
      <c r="B69" s="180"/>
      <c r="C69" s="184">
        <v>2</v>
      </c>
      <c r="D69" s="184">
        <v>2</v>
      </c>
      <c r="E69" s="184">
        <v>2</v>
      </c>
      <c r="F69" s="184">
        <v>2</v>
      </c>
      <c r="G69" s="184">
        <v>2</v>
      </c>
      <c r="H69" s="184">
        <v>1</v>
      </c>
      <c r="I69" s="184">
        <v>1</v>
      </c>
      <c r="J69" s="184">
        <v>1</v>
      </c>
      <c r="K69" s="180"/>
      <c r="L69" s="180"/>
      <c r="M69" s="180"/>
      <c r="N69" s="180"/>
      <c r="Q69" s="191"/>
      <c r="R69" s="191"/>
      <c r="S69" s="191"/>
      <c r="T69" s="191"/>
      <c r="U69" s="191"/>
      <c r="V69" s="191"/>
      <c r="W69" s="191"/>
      <c r="X69" s="191"/>
    </row>
    <row r="70" spans="1:24" ht="33">
      <c r="B70" s="180"/>
      <c r="C70" s="184">
        <v>2</v>
      </c>
      <c r="D70" s="184">
        <v>2</v>
      </c>
      <c r="E70" s="184">
        <v>2</v>
      </c>
      <c r="F70" s="184">
        <v>2</v>
      </c>
      <c r="G70" s="184">
        <v>2</v>
      </c>
      <c r="H70" s="184">
        <v>1</v>
      </c>
      <c r="I70" s="184">
        <v>1</v>
      </c>
      <c r="J70" s="184">
        <v>1</v>
      </c>
      <c r="K70" s="180"/>
      <c r="M70" s="189" t="s">
        <v>628</v>
      </c>
      <c r="N70" s="189"/>
      <c r="O70" s="189"/>
      <c r="Q70" s="191"/>
      <c r="R70" s="190">
        <f t="shared" ref="R70:R75" si="13">C69*$M$56+D69*$N$56+E69*$O$56+C70*$M$57+D70*$N$57+E70*$O$57+C71*$M$58+D71*$N$58+E71*$O$58</f>
        <v>0</v>
      </c>
      <c r="S70" s="190">
        <f t="shared" ref="S70:S75" si="14">D69*$M$56+E69*$N$56+F69*$O$56+D70*$M$57+E70*$N$57+F70*$O$57+D71*$M$58+E71*$N$58+F71*$O$58</f>
        <v>0</v>
      </c>
      <c r="T70" s="190">
        <f t="shared" ref="T70:T75" si="15">E69*$M$56+F69*$N$56+G69*$O$56+E70*$M$57+F70*$N$57+G70*$O$57+E71*$M$58+F71*$N$58+G71*$O$58</f>
        <v>0</v>
      </c>
      <c r="U70" s="190">
        <f t="shared" ref="U70:U75" si="16">F69*$M$56+G69*$N$56+H69*$O$56+F70*$M$57+G70*$N$57+H70*$O$57+F71*$M$58+G71*$N$58+H71*$O$58</f>
        <v>-3</v>
      </c>
      <c r="V70" s="190">
        <f t="shared" ref="V70:V75" si="17">G69*$M$56+H69*$N$56+I69*$O$56+G70*$M$57+H70*$N$57+I70*$O$57+G71*$M$58+H71*$N$58+I71*$O$58</f>
        <v>-3</v>
      </c>
      <c r="W70" s="190">
        <f t="shared" ref="W70:W75" si="18">H69*$M$56+I69*$N$56+J69*$O$56+H70*$M$57+I70*$N$57+J70*$O$57+H71*$M$58+I71*$N$58+J71*$O$58</f>
        <v>0</v>
      </c>
      <c r="X70" s="191"/>
    </row>
    <row r="71" spans="1:24">
      <c r="B71" s="180"/>
      <c r="C71" s="184">
        <v>2</v>
      </c>
      <c r="D71" s="184">
        <v>2</v>
      </c>
      <c r="E71" s="184">
        <v>2</v>
      </c>
      <c r="F71" s="184">
        <v>2</v>
      </c>
      <c r="G71" s="184">
        <v>2</v>
      </c>
      <c r="H71" s="184">
        <v>1</v>
      </c>
      <c r="I71" s="184">
        <v>1</v>
      </c>
      <c r="J71" s="184">
        <v>1</v>
      </c>
      <c r="K71" s="180"/>
      <c r="M71" s="184">
        <v>-1</v>
      </c>
      <c r="N71" s="184">
        <v>0</v>
      </c>
      <c r="O71" s="184">
        <v>1</v>
      </c>
      <c r="Q71" s="191"/>
      <c r="R71" s="190">
        <f t="shared" si="13"/>
        <v>0</v>
      </c>
      <c r="S71" s="190">
        <f t="shared" si="14"/>
        <v>0</v>
      </c>
      <c r="T71" s="190">
        <f t="shared" si="15"/>
        <v>0</v>
      </c>
      <c r="U71" s="190">
        <f t="shared" si="16"/>
        <v>-3</v>
      </c>
      <c r="V71" s="190">
        <f t="shared" si="17"/>
        <v>-3</v>
      </c>
      <c r="W71" s="190">
        <f t="shared" si="18"/>
        <v>0</v>
      </c>
      <c r="X71" s="191"/>
    </row>
    <row r="72" spans="1:24">
      <c r="B72" s="180"/>
      <c r="C72" s="184">
        <v>2</v>
      </c>
      <c r="D72" s="184">
        <v>2</v>
      </c>
      <c r="E72" s="184">
        <v>2</v>
      </c>
      <c r="F72" s="184">
        <v>2</v>
      </c>
      <c r="G72" s="184">
        <v>2</v>
      </c>
      <c r="H72" s="184">
        <v>1</v>
      </c>
      <c r="I72" s="184">
        <v>1</v>
      </c>
      <c r="J72" s="184">
        <v>1</v>
      </c>
      <c r="K72" s="180"/>
      <c r="M72" s="184">
        <v>-1</v>
      </c>
      <c r="N72" s="184">
        <v>0</v>
      </c>
      <c r="O72" s="184">
        <v>1</v>
      </c>
      <c r="Q72" s="191"/>
      <c r="R72" s="190">
        <f t="shared" si="13"/>
        <v>0</v>
      </c>
      <c r="S72" s="190">
        <f t="shared" si="14"/>
        <v>7</v>
      </c>
      <c r="T72" s="190">
        <f t="shared" si="15"/>
        <v>7</v>
      </c>
      <c r="U72" s="190">
        <f t="shared" si="16"/>
        <v>-2</v>
      </c>
      <c r="V72" s="190">
        <f t="shared" si="17"/>
        <v>-2</v>
      </c>
      <c r="W72" s="190">
        <f t="shared" si="18"/>
        <v>0</v>
      </c>
      <c r="X72" s="191"/>
    </row>
    <row r="73" spans="1:24">
      <c r="B73" s="180"/>
      <c r="C73" s="184">
        <v>2</v>
      </c>
      <c r="D73" s="193">
        <v>2</v>
      </c>
      <c r="E73" s="193">
        <v>2</v>
      </c>
      <c r="F73" s="193">
        <v>9</v>
      </c>
      <c r="G73" s="184">
        <v>9</v>
      </c>
      <c r="H73" s="184">
        <v>9</v>
      </c>
      <c r="I73" s="184">
        <v>9</v>
      </c>
      <c r="J73" s="184">
        <v>9</v>
      </c>
      <c r="K73" s="180"/>
      <c r="M73" s="184">
        <v>-1</v>
      </c>
      <c r="N73" s="184">
        <v>0</v>
      </c>
      <c r="O73" s="184">
        <v>1</v>
      </c>
      <c r="Q73" s="191"/>
      <c r="R73" s="190">
        <f t="shared" si="13"/>
        <v>0</v>
      </c>
      <c r="S73" s="190">
        <f t="shared" si="14"/>
        <v>14</v>
      </c>
      <c r="T73" s="190">
        <f t="shared" si="15"/>
        <v>14</v>
      </c>
      <c r="U73" s="190">
        <f t="shared" si="16"/>
        <v>-1</v>
      </c>
      <c r="V73" s="190">
        <f t="shared" si="17"/>
        <v>-1</v>
      </c>
      <c r="W73" s="190">
        <f t="shared" si="18"/>
        <v>0</v>
      </c>
      <c r="X73" s="191"/>
    </row>
    <row r="74" spans="1:24">
      <c r="B74" s="180"/>
      <c r="C74" s="184">
        <v>2</v>
      </c>
      <c r="D74" s="193">
        <v>2</v>
      </c>
      <c r="E74" s="193">
        <v>2</v>
      </c>
      <c r="F74" s="193">
        <v>9</v>
      </c>
      <c r="G74" s="184">
        <v>9</v>
      </c>
      <c r="H74" s="184">
        <v>9</v>
      </c>
      <c r="I74" s="184">
        <v>9</v>
      </c>
      <c r="J74" s="184">
        <v>9</v>
      </c>
      <c r="K74" s="180"/>
      <c r="L74" s="180"/>
      <c r="M74" s="180"/>
      <c r="N74" s="180"/>
      <c r="Q74" s="191"/>
      <c r="R74" s="190">
        <f t="shared" si="13"/>
        <v>0</v>
      </c>
      <c r="S74" s="192">
        <f t="shared" si="14"/>
        <v>21</v>
      </c>
      <c r="T74" s="190">
        <f t="shared" si="15"/>
        <v>21</v>
      </c>
      <c r="U74" s="190">
        <f t="shared" si="16"/>
        <v>0</v>
      </c>
      <c r="V74" s="190">
        <f t="shared" si="17"/>
        <v>0</v>
      </c>
      <c r="W74" s="190">
        <f t="shared" si="18"/>
        <v>0</v>
      </c>
      <c r="X74" s="191"/>
    </row>
    <row r="75" spans="1:24">
      <c r="B75" s="180"/>
      <c r="C75" s="184">
        <v>2</v>
      </c>
      <c r="D75" s="193">
        <v>2</v>
      </c>
      <c r="E75" s="193">
        <v>2</v>
      </c>
      <c r="F75" s="193">
        <v>9</v>
      </c>
      <c r="G75" s="184">
        <v>9</v>
      </c>
      <c r="H75" s="184">
        <v>9</v>
      </c>
      <c r="I75" s="184">
        <v>9</v>
      </c>
      <c r="J75" s="184">
        <v>9</v>
      </c>
      <c r="K75" s="180"/>
      <c r="L75" s="180"/>
      <c r="M75" s="180"/>
      <c r="N75" s="180"/>
      <c r="Q75" s="191"/>
      <c r="R75" s="190">
        <f t="shared" si="13"/>
        <v>0</v>
      </c>
      <c r="S75" s="190">
        <f t="shared" si="14"/>
        <v>21</v>
      </c>
      <c r="T75" s="190">
        <f t="shared" si="15"/>
        <v>21</v>
      </c>
      <c r="U75" s="190">
        <f t="shared" si="16"/>
        <v>0</v>
      </c>
      <c r="V75" s="190">
        <f t="shared" si="17"/>
        <v>0</v>
      </c>
      <c r="W75" s="190">
        <f t="shared" si="18"/>
        <v>0</v>
      </c>
      <c r="X75" s="191"/>
    </row>
    <row r="76" spans="1:24">
      <c r="B76" s="180"/>
      <c r="C76" s="184">
        <v>2</v>
      </c>
      <c r="D76" s="184">
        <v>2</v>
      </c>
      <c r="E76" s="184">
        <v>2</v>
      </c>
      <c r="F76" s="184">
        <v>9</v>
      </c>
      <c r="G76" s="184">
        <v>9</v>
      </c>
      <c r="H76" s="184">
        <v>9</v>
      </c>
      <c r="I76" s="184">
        <v>9</v>
      </c>
      <c r="J76" s="184">
        <v>9</v>
      </c>
      <c r="K76" s="180"/>
      <c r="L76" s="180"/>
      <c r="M76" s="180"/>
      <c r="N76" s="180"/>
      <c r="Q76" s="191"/>
      <c r="R76" s="191"/>
      <c r="S76" s="191"/>
      <c r="T76" s="191"/>
      <c r="U76" s="191"/>
      <c r="V76" s="191"/>
      <c r="W76" s="191"/>
      <c r="X76" s="191"/>
    </row>
    <row r="77" spans="1:24">
      <c r="B77" s="180"/>
      <c r="C77" s="180"/>
      <c r="D77" s="180"/>
      <c r="E77" s="180" t="s">
        <v>667</v>
      </c>
      <c r="F77" s="180"/>
      <c r="G77" s="180"/>
      <c r="H77" s="180"/>
      <c r="I77" s="180"/>
      <c r="J77" s="180"/>
      <c r="K77" s="180"/>
      <c r="S77" s="516" t="s">
        <v>668</v>
      </c>
      <c r="T77" s="516"/>
      <c r="U77" s="516"/>
    </row>
    <row r="79" spans="1:24">
      <c r="M79" t="s">
        <v>633</v>
      </c>
      <c r="N79">
        <v>2</v>
      </c>
      <c r="O79" t="s">
        <v>637</v>
      </c>
    </row>
    <row r="80" spans="1:24">
      <c r="Q80" s="191"/>
      <c r="R80" s="191"/>
      <c r="S80" s="191"/>
      <c r="T80" s="191"/>
      <c r="U80" s="191"/>
      <c r="V80" s="191"/>
      <c r="W80" s="191"/>
      <c r="X80" s="191"/>
    </row>
    <row r="81" spans="2:36">
      <c r="Q81" s="191"/>
      <c r="R81" s="190">
        <f t="shared" ref="R81:W81" si="19">R70+$N$79</f>
        <v>2</v>
      </c>
      <c r="S81" s="190">
        <f t="shared" si="19"/>
        <v>2</v>
      </c>
      <c r="T81" s="190">
        <f t="shared" si="19"/>
        <v>2</v>
      </c>
      <c r="U81" s="190">
        <f t="shared" si="19"/>
        <v>-1</v>
      </c>
      <c r="V81" s="190">
        <f t="shared" si="19"/>
        <v>-1</v>
      </c>
      <c r="W81" s="190">
        <f t="shared" si="19"/>
        <v>2</v>
      </c>
      <c r="X81" s="191"/>
    </row>
    <row r="82" spans="2:36">
      <c r="Q82" s="191"/>
      <c r="R82" s="190">
        <f t="shared" ref="R82:W82" si="20">R71+$N$79</f>
        <v>2</v>
      </c>
      <c r="S82" s="190">
        <f t="shared" si="20"/>
        <v>2</v>
      </c>
      <c r="T82" s="190">
        <f t="shared" si="20"/>
        <v>2</v>
      </c>
      <c r="U82" s="190">
        <f t="shared" si="20"/>
        <v>-1</v>
      </c>
      <c r="V82" s="190">
        <f t="shared" si="20"/>
        <v>-1</v>
      </c>
      <c r="W82" s="190">
        <f t="shared" si="20"/>
        <v>2</v>
      </c>
      <c r="X82" s="191"/>
    </row>
    <row r="83" spans="2:36">
      <c r="Q83" s="191"/>
      <c r="R83" s="190">
        <f t="shared" ref="R83:W83" si="21">R72+$N$79</f>
        <v>2</v>
      </c>
      <c r="S83" s="190">
        <f t="shared" si="21"/>
        <v>9</v>
      </c>
      <c r="T83" s="190">
        <f t="shared" si="21"/>
        <v>9</v>
      </c>
      <c r="U83" s="190">
        <f t="shared" si="21"/>
        <v>0</v>
      </c>
      <c r="V83" s="190">
        <f t="shared" si="21"/>
        <v>0</v>
      </c>
      <c r="W83" s="190">
        <f t="shared" si="21"/>
        <v>2</v>
      </c>
      <c r="X83" s="191"/>
    </row>
    <row r="84" spans="2:36">
      <c r="Q84" s="191"/>
      <c r="R84" s="190">
        <f t="shared" ref="R84:W84" si="22">R73+$N$79</f>
        <v>2</v>
      </c>
      <c r="S84" s="190">
        <f t="shared" si="22"/>
        <v>16</v>
      </c>
      <c r="T84" s="190">
        <f t="shared" si="22"/>
        <v>16</v>
      </c>
      <c r="U84" s="190">
        <f t="shared" si="22"/>
        <v>1</v>
      </c>
      <c r="V84" s="190">
        <f t="shared" si="22"/>
        <v>1</v>
      </c>
      <c r="W84" s="190">
        <f t="shared" si="22"/>
        <v>2</v>
      </c>
      <c r="X84" s="191"/>
    </row>
    <row r="85" spans="2:36">
      <c r="Q85" s="191"/>
      <c r="R85" s="190">
        <f t="shared" ref="R85:W85" si="23">R74+$N$79</f>
        <v>2</v>
      </c>
      <c r="S85" s="192">
        <f t="shared" si="23"/>
        <v>23</v>
      </c>
      <c r="T85" s="190">
        <f t="shared" si="23"/>
        <v>23</v>
      </c>
      <c r="U85" s="190">
        <f t="shared" si="23"/>
        <v>2</v>
      </c>
      <c r="V85" s="190">
        <f t="shared" si="23"/>
        <v>2</v>
      </c>
      <c r="W85" s="190">
        <f t="shared" si="23"/>
        <v>2</v>
      </c>
      <c r="X85" s="191"/>
    </row>
    <row r="86" spans="2:36">
      <c r="Q86" s="191"/>
      <c r="R86" s="190">
        <f t="shared" ref="R86:W86" si="24">R75+$N$79</f>
        <v>2</v>
      </c>
      <c r="S86" s="190">
        <f t="shared" si="24"/>
        <v>23</v>
      </c>
      <c r="T86" s="190">
        <f t="shared" si="24"/>
        <v>23</v>
      </c>
      <c r="U86" s="190">
        <f t="shared" si="24"/>
        <v>2</v>
      </c>
      <c r="V86" s="190">
        <f t="shared" si="24"/>
        <v>2</v>
      </c>
      <c r="W86" s="190">
        <f t="shared" si="24"/>
        <v>2</v>
      </c>
      <c r="X86" s="191"/>
    </row>
    <row r="87" spans="2:36">
      <c r="Q87" s="191"/>
      <c r="R87" s="191"/>
      <c r="S87" s="191"/>
      <c r="T87" s="191"/>
      <c r="U87" s="191"/>
      <c r="V87" s="191"/>
      <c r="W87" s="191"/>
      <c r="X87" s="191"/>
    </row>
    <row r="90" spans="2:36" s="1" customFormat="1" ht="17.25" thickBot="1">
      <c r="B90" s="1" t="s">
        <v>638</v>
      </c>
    </row>
    <row r="91" spans="2:36" ht="17.25" thickBot="1">
      <c r="X91" s="7"/>
      <c r="Y91" s="7"/>
      <c r="Z91" s="7"/>
      <c r="AA91" s="7"/>
      <c r="AB91" s="7"/>
      <c r="AC91" s="8" t="s">
        <v>628</v>
      </c>
      <c r="AD91" s="7"/>
      <c r="AE91" s="7"/>
      <c r="AF91" s="7"/>
      <c r="AG91" s="7"/>
      <c r="AH91" s="7"/>
      <c r="AI91" s="7"/>
      <c r="AJ91" s="7"/>
    </row>
    <row r="92" spans="2:36" ht="17.25" thickBot="1">
      <c r="B92" s="7"/>
      <c r="C92" s="7"/>
      <c r="D92" s="194" t="s">
        <v>639</v>
      </c>
      <c r="E92" s="7"/>
      <c r="F92" s="7"/>
      <c r="G92" s="7"/>
      <c r="H92" s="7"/>
      <c r="I92" s="7"/>
      <c r="J92" s="7"/>
      <c r="K92" s="195" t="s">
        <v>640</v>
      </c>
      <c r="L92" s="7"/>
      <c r="M92" s="7"/>
      <c r="N92" s="7"/>
      <c r="O92" s="7"/>
      <c r="P92" s="7"/>
      <c r="Q92" s="7"/>
      <c r="R92" s="196" t="s">
        <v>51</v>
      </c>
      <c r="S92" s="7"/>
      <c r="T92" s="7"/>
      <c r="X92" s="7"/>
      <c r="Y92" s="7"/>
      <c r="Z92" s="7"/>
      <c r="AA92" s="7"/>
      <c r="AB92" s="7"/>
      <c r="AC92" s="7"/>
      <c r="AD92" s="7"/>
      <c r="AE92" s="7"/>
      <c r="AF92" s="7"/>
      <c r="AG92" s="7"/>
      <c r="AH92" s="7"/>
      <c r="AI92" s="7"/>
      <c r="AJ92" s="7"/>
    </row>
    <row r="93" spans="2:36" ht="17.25" thickBot="1">
      <c r="B93" s="7"/>
      <c r="C93" s="7"/>
      <c r="D93" s="7"/>
      <c r="E93" s="7"/>
      <c r="F93" s="7"/>
      <c r="G93" s="7"/>
      <c r="H93" s="7"/>
      <c r="I93" s="7"/>
      <c r="J93" s="7"/>
      <c r="K93" s="7"/>
      <c r="L93" s="7"/>
      <c r="M93" s="7"/>
      <c r="N93" s="7"/>
      <c r="O93" s="7"/>
      <c r="P93" s="7"/>
      <c r="Q93" s="7"/>
      <c r="R93" s="7"/>
      <c r="S93" s="7"/>
      <c r="T93" s="7"/>
      <c r="U93" s="184"/>
      <c r="V93" s="184"/>
      <c r="W93" s="184"/>
      <c r="X93" s="7"/>
      <c r="Y93" s="7"/>
      <c r="Z93" s="7"/>
      <c r="AA93" s="7"/>
      <c r="AB93" s="7"/>
      <c r="AC93" s="7"/>
      <c r="AD93" s="7"/>
      <c r="AE93" s="7"/>
      <c r="AF93" s="7"/>
      <c r="AG93" s="7"/>
      <c r="AH93" s="7"/>
      <c r="AI93" s="7"/>
      <c r="AJ93" s="7"/>
    </row>
    <row r="94" spans="2:36" ht="17.25" thickBot="1">
      <c r="B94" s="95">
        <v>0</v>
      </c>
      <c r="C94" s="95">
        <v>0</v>
      </c>
      <c r="D94" s="95">
        <v>0</v>
      </c>
      <c r="E94" s="95">
        <v>0</v>
      </c>
      <c r="F94" s="95">
        <v>0</v>
      </c>
      <c r="G94" s="7"/>
      <c r="H94" s="7"/>
      <c r="I94" s="95">
        <v>0</v>
      </c>
      <c r="J94" s="95">
        <v>0</v>
      </c>
      <c r="K94" s="95">
        <v>0</v>
      </c>
      <c r="L94" s="95">
        <v>0</v>
      </c>
      <c r="M94" s="95">
        <v>0</v>
      </c>
      <c r="N94" s="7"/>
      <c r="O94" s="7"/>
      <c r="P94" s="95">
        <v>0</v>
      </c>
      <c r="Q94" s="95">
        <v>0</v>
      </c>
      <c r="R94" s="95">
        <v>0</v>
      </c>
      <c r="S94" s="95">
        <v>0</v>
      </c>
      <c r="T94" s="95">
        <v>0</v>
      </c>
      <c r="U94" s="184"/>
      <c r="V94" s="184"/>
      <c r="W94" s="184"/>
      <c r="X94" s="95">
        <v>0</v>
      </c>
      <c r="Y94" s="95">
        <v>0</v>
      </c>
      <c r="Z94" s="95">
        <v>0</v>
      </c>
      <c r="AA94" s="7"/>
      <c r="AB94" s="7"/>
      <c r="AC94" s="95">
        <v>0</v>
      </c>
      <c r="AD94" s="95">
        <v>2</v>
      </c>
      <c r="AE94" s="95">
        <v>0</v>
      </c>
      <c r="AF94" s="7"/>
      <c r="AG94" s="7"/>
      <c r="AH94" s="95">
        <v>1</v>
      </c>
      <c r="AI94" s="95">
        <v>0</v>
      </c>
      <c r="AJ94" s="95">
        <v>0</v>
      </c>
    </row>
    <row r="95" spans="2:36" ht="17.25" thickBot="1">
      <c r="B95" s="95">
        <v>0</v>
      </c>
      <c r="C95" s="95">
        <v>1</v>
      </c>
      <c r="D95" s="95">
        <v>1</v>
      </c>
      <c r="E95" s="95">
        <v>1</v>
      </c>
      <c r="F95" s="95">
        <v>0</v>
      </c>
      <c r="G95" s="7"/>
      <c r="H95" s="7"/>
      <c r="I95" s="95">
        <v>0</v>
      </c>
      <c r="J95" s="197">
        <v>2</v>
      </c>
      <c r="K95" s="95">
        <v>2</v>
      </c>
      <c r="L95" s="95">
        <v>2</v>
      </c>
      <c r="M95" s="95">
        <v>0</v>
      </c>
      <c r="N95" s="7"/>
      <c r="O95" s="7"/>
      <c r="P95" s="95">
        <v>0</v>
      </c>
      <c r="Q95" s="95">
        <v>0</v>
      </c>
      <c r="R95" s="95">
        <v>3</v>
      </c>
      <c r="S95" s="95">
        <v>0</v>
      </c>
      <c r="T95" s="95">
        <v>0</v>
      </c>
      <c r="U95" s="184"/>
      <c r="V95" s="184"/>
      <c r="W95" s="184"/>
      <c r="X95" s="95">
        <v>0</v>
      </c>
      <c r="Y95" s="95">
        <v>0</v>
      </c>
      <c r="Z95" s="95">
        <v>1</v>
      </c>
      <c r="AA95" s="7"/>
      <c r="AB95" s="7"/>
      <c r="AC95" s="95">
        <v>0</v>
      </c>
      <c r="AD95" s="95">
        <v>2</v>
      </c>
      <c r="AE95" s="95">
        <v>0</v>
      </c>
      <c r="AF95" s="7"/>
      <c r="AG95" s="7"/>
      <c r="AH95" s="95">
        <v>0</v>
      </c>
      <c r="AI95" s="95">
        <v>2</v>
      </c>
      <c r="AJ95" s="95">
        <v>0</v>
      </c>
    </row>
    <row r="96" spans="2:36" ht="17.25" thickBot="1">
      <c r="B96" s="95">
        <v>0</v>
      </c>
      <c r="C96" s="95">
        <v>2</v>
      </c>
      <c r="D96" s="95">
        <v>1</v>
      </c>
      <c r="E96" s="95">
        <v>3</v>
      </c>
      <c r="F96" s="95">
        <v>0</v>
      </c>
      <c r="G96" s="7"/>
      <c r="H96" s="7"/>
      <c r="I96" s="95">
        <v>0</v>
      </c>
      <c r="J96" s="95">
        <v>1</v>
      </c>
      <c r="K96" s="95">
        <v>0</v>
      </c>
      <c r="L96" s="95">
        <v>1</v>
      </c>
      <c r="M96" s="95">
        <v>0</v>
      </c>
      <c r="N96" s="7"/>
      <c r="O96" s="7"/>
      <c r="P96" s="95">
        <v>0</v>
      </c>
      <c r="Q96" s="95">
        <v>1</v>
      </c>
      <c r="R96" s="95">
        <v>0</v>
      </c>
      <c r="S96" s="95">
        <v>1</v>
      </c>
      <c r="T96" s="95">
        <v>0</v>
      </c>
      <c r="U96" s="184"/>
      <c r="V96" s="184"/>
      <c r="W96" s="184"/>
      <c r="X96" s="95">
        <v>0</v>
      </c>
      <c r="Y96" s="95">
        <v>1</v>
      </c>
      <c r="Z96" s="95">
        <v>0</v>
      </c>
      <c r="AA96" s="7"/>
      <c r="AB96" s="7"/>
      <c r="AC96" s="95">
        <v>0</v>
      </c>
      <c r="AD96" s="95">
        <v>2</v>
      </c>
      <c r="AE96" s="95">
        <v>0</v>
      </c>
      <c r="AF96" s="7"/>
      <c r="AG96" s="7"/>
      <c r="AH96" s="95">
        <v>0</v>
      </c>
      <c r="AI96" s="95">
        <v>0</v>
      </c>
      <c r="AJ96" s="95">
        <v>1</v>
      </c>
    </row>
    <row r="97" spans="2:23" ht="17.25" thickBot="1">
      <c r="B97" s="95">
        <v>0</v>
      </c>
      <c r="C97" s="95">
        <v>0</v>
      </c>
      <c r="D97" s="95">
        <v>1</v>
      </c>
      <c r="E97" s="95">
        <v>0</v>
      </c>
      <c r="F97" s="95">
        <v>0</v>
      </c>
      <c r="G97" s="7"/>
      <c r="H97" s="7"/>
      <c r="I97" s="95">
        <v>0</v>
      </c>
      <c r="J97" s="95">
        <v>0</v>
      </c>
      <c r="K97" s="95">
        <v>0</v>
      </c>
      <c r="L97" s="95">
        <v>1</v>
      </c>
      <c r="M97" s="95">
        <v>0</v>
      </c>
      <c r="N97" s="7"/>
      <c r="O97" s="7"/>
      <c r="P97" s="95">
        <v>0</v>
      </c>
      <c r="Q97" s="95">
        <v>1</v>
      </c>
      <c r="R97" s="95">
        <v>0</v>
      </c>
      <c r="S97" s="95">
        <v>0</v>
      </c>
      <c r="T97" s="95">
        <v>0</v>
      </c>
    </row>
    <row r="98" spans="2:23" ht="17.25" thickBot="1">
      <c r="B98" s="95">
        <v>0</v>
      </c>
      <c r="C98" s="95">
        <v>0</v>
      </c>
      <c r="D98" s="95">
        <v>0</v>
      </c>
      <c r="E98" s="95">
        <v>0</v>
      </c>
      <c r="F98" s="95">
        <v>0</v>
      </c>
      <c r="G98" s="7"/>
      <c r="H98" s="7"/>
      <c r="I98" s="95">
        <v>0</v>
      </c>
      <c r="J98" s="95">
        <v>0</v>
      </c>
      <c r="K98" s="95">
        <v>0</v>
      </c>
      <c r="L98" s="95">
        <v>0</v>
      </c>
      <c r="M98" s="95">
        <v>0</v>
      </c>
      <c r="N98" s="7"/>
      <c r="O98" s="7"/>
      <c r="P98" s="95">
        <v>0</v>
      </c>
      <c r="Q98" s="95">
        <v>0</v>
      </c>
      <c r="R98" s="95">
        <v>0</v>
      </c>
      <c r="S98" s="95">
        <v>0</v>
      </c>
      <c r="T98" s="95">
        <v>0</v>
      </c>
    </row>
    <row r="100" spans="2:23" ht="17.25" thickBot="1"/>
    <row r="101" spans="2:23" ht="17.25" customHeight="1" thickBot="1">
      <c r="U101" s="537" t="s">
        <v>630</v>
      </c>
      <c r="V101" s="538"/>
      <c r="W101" s="539"/>
    </row>
    <row r="102" spans="2:23">
      <c r="U102" s="180">
        <f t="shared" ref="U102:W104" si="25">B94*$X$94+C94*$Y$94+D94*$Z$94+B95*$X$95+C95*$Y$95+D95*$Z$95+B96*$X$96+C96*$Y$96+D96*$Z$96+I94*$AC$94+J94*$AD$94+K94*$AE$94+I95*$AC$95+J95*$AD$95+K95*$AE$95+I96*$AC$96+J96*$AD$96+K96*$AE$96+P94*$AH$94+Q94*$AI$94+R94*$AJ$94+P95*$AH$95+Q95*$AI$95+R95*$AJ$95+P96*$AH$96+Q96*$AI$96+R96*$AJ$96</f>
        <v>9</v>
      </c>
      <c r="V102" s="180">
        <f t="shared" si="25"/>
        <v>13</v>
      </c>
      <c r="W102" s="180">
        <f t="shared" si="25"/>
        <v>9</v>
      </c>
    </row>
    <row r="103" spans="2:23">
      <c r="U103" s="180">
        <f t="shared" si="25"/>
        <v>9</v>
      </c>
      <c r="V103" s="180">
        <f t="shared" si="25"/>
        <v>8</v>
      </c>
      <c r="W103" s="180">
        <f t="shared" si="25"/>
        <v>13</v>
      </c>
    </row>
    <row r="104" spans="2:23">
      <c r="U104" s="180">
        <f t="shared" si="25"/>
        <v>5</v>
      </c>
      <c r="V104" s="180">
        <f t="shared" si="25"/>
        <v>1</v>
      </c>
      <c r="W104" s="180">
        <f t="shared" si="25"/>
        <v>4</v>
      </c>
    </row>
  </sheetData>
  <mergeCells count="7">
    <mergeCell ref="Q52:U52"/>
    <mergeCell ref="Q67:U67"/>
    <mergeCell ref="U101:W101"/>
    <mergeCell ref="S77:U77"/>
    <mergeCell ref="B4:I4"/>
    <mergeCell ref="B16:H16"/>
    <mergeCell ref="C32:J32"/>
  </mergeCells>
  <phoneticPr fontId="5" type="noConversion"/>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BE175"/>
  <sheetViews>
    <sheetView zoomScaleNormal="100" workbookViewId="0">
      <selection sqref="A1:XFD1048576"/>
    </sheetView>
  </sheetViews>
  <sheetFormatPr defaultRowHeight="16.5"/>
  <cols>
    <col min="1" max="28" width="4" style="180" customWidth="1"/>
    <col min="29" max="29" width="9" style="180"/>
    <col min="30" max="57" width="4.25" style="180" customWidth="1"/>
    <col min="58" max="16384" width="9" style="180"/>
  </cols>
  <sheetData>
    <row r="1" spans="1:57" ht="19.5" customHeight="1" thickBot="1">
      <c r="A1" s="203">
        <v>0</v>
      </c>
      <c r="B1" s="203">
        <v>0</v>
      </c>
      <c r="C1" s="203">
        <v>0</v>
      </c>
      <c r="D1" s="203">
        <v>0</v>
      </c>
      <c r="E1" s="203">
        <v>0</v>
      </c>
      <c r="F1" s="203">
        <v>0</v>
      </c>
      <c r="G1" s="203">
        <v>0</v>
      </c>
      <c r="H1" s="203">
        <v>0</v>
      </c>
      <c r="I1" s="203">
        <v>0</v>
      </c>
      <c r="J1" s="203">
        <v>0</v>
      </c>
      <c r="K1" s="203">
        <v>0</v>
      </c>
      <c r="L1" s="203">
        <v>0</v>
      </c>
      <c r="M1" s="203">
        <v>0</v>
      </c>
      <c r="N1" s="203">
        <v>0</v>
      </c>
      <c r="O1" s="203">
        <v>0</v>
      </c>
      <c r="P1" s="201">
        <v>0</v>
      </c>
      <c r="Q1" s="201">
        <v>0</v>
      </c>
      <c r="R1" s="201">
        <v>0</v>
      </c>
      <c r="S1" s="201">
        <v>0</v>
      </c>
      <c r="T1" s="201">
        <v>0</v>
      </c>
      <c r="U1" s="201">
        <v>0</v>
      </c>
      <c r="V1" s="201">
        <v>0</v>
      </c>
      <c r="W1" s="201">
        <v>0</v>
      </c>
      <c r="X1" s="201">
        <v>0</v>
      </c>
      <c r="Y1" s="201">
        <v>0</v>
      </c>
      <c r="Z1" s="201">
        <v>0</v>
      </c>
      <c r="AA1" s="201">
        <v>0</v>
      </c>
      <c r="AB1" s="201">
        <v>0</v>
      </c>
      <c r="AD1" s="96">
        <f>B1/255</f>
        <v>0</v>
      </c>
      <c r="AE1" s="96">
        <f t="shared" ref="AE1:BE1" si="0">C1/255</f>
        <v>0</v>
      </c>
      <c r="AF1" s="96">
        <f t="shared" si="0"/>
        <v>0</v>
      </c>
      <c r="AG1" s="96">
        <f t="shared" si="0"/>
        <v>0</v>
      </c>
      <c r="AH1" s="96">
        <f t="shared" si="0"/>
        <v>0</v>
      </c>
      <c r="AI1" s="96">
        <f t="shared" si="0"/>
        <v>0</v>
      </c>
      <c r="AJ1" s="96">
        <f t="shared" si="0"/>
        <v>0</v>
      </c>
      <c r="AK1" s="96">
        <f t="shared" si="0"/>
        <v>0</v>
      </c>
      <c r="AL1" s="96">
        <f t="shared" si="0"/>
        <v>0</v>
      </c>
      <c r="AM1" s="96">
        <f t="shared" si="0"/>
        <v>0</v>
      </c>
      <c r="AN1" s="96">
        <f t="shared" si="0"/>
        <v>0</v>
      </c>
      <c r="AO1" s="96">
        <f t="shared" si="0"/>
        <v>0</v>
      </c>
      <c r="AP1" s="96">
        <f t="shared" si="0"/>
        <v>0</v>
      </c>
      <c r="AQ1" s="96">
        <f t="shared" si="0"/>
        <v>0</v>
      </c>
      <c r="AR1" s="96">
        <f t="shared" si="0"/>
        <v>0</v>
      </c>
      <c r="AS1" s="96">
        <f t="shared" si="0"/>
        <v>0</v>
      </c>
      <c r="AT1" s="96">
        <f t="shared" si="0"/>
        <v>0</v>
      </c>
      <c r="AU1" s="96">
        <f t="shared" si="0"/>
        <v>0</v>
      </c>
      <c r="AV1" s="96">
        <f t="shared" si="0"/>
        <v>0</v>
      </c>
      <c r="AW1" s="96">
        <f t="shared" si="0"/>
        <v>0</v>
      </c>
      <c r="AX1" s="96">
        <f t="shared" si="0"/>
        <v>0</v>
      </c>
      <c r="AY1" s="96">
        <f t="shared" si="0"/>
        <v>0</v>
      </c>
      <c r="AZ1" s="96">
        <f t="shared" si="0"/>
        <v>0</v>
      </c>
      <c r="BA1" s="96">
        <f t="shared" si="0"/>
        <v>0</v>
      </c>
      <c r="BB1" s="96">
        <f t="shared" si="0"/>
        <v>0</v>
      </c>
      <c r="BC1" s="96">
        <f t="shared" si="0"/>
        <v>0</v>
      </c>
      <c r="BD1" s="96">
        <f t="shared" si="0"/>
        <v>0</v>
      </c>
      <c r="BE1" s="96">
        <f t="shared" si="0"/>
        <v>0</v>
      </c>
    </row>
    <row r="2" spans="1:57" ht="19.5" customHeight="1" thickBot="1">
      <c r="A2" s="203">
        <v>0</v>
      </c>
      <c r="B2" s="203">
        <v>0</v>
      </c>
      <c r="C2" s="203">
        <v>0</v>
      </c>
      <c r="D2" s="203">
        <v>0</v>
      </c>
      <c r="E2" s="203">
        <v>0</v>
      </c>
      <c r="F2" s="203">
        <v>0</v>
      </c>
      <c r="G2" s="203">
        <v>0</v>
      </c>
      <c r="H2" s="203">
        <v>0</v>
      </c>
      <c r="I2" s="203">
        <v>0</v>
      </c>
      <c r="J2" s="203">
        <v>0</v>
      </c>
      <c r="K2" s="203">
        <v>0</v>
      </c>
      <c r="L2" s="203">
        <v>0</v>
      </c>
      <c r="M2" s="203">
        <v>0</v>
      </c>
      <c r="N2" s="203">
        <v>0</v>
      </c>
      <c r="O2" s="203">
        <v>0</v>
      </c>
      <c r="P2" s="201">
        <v>0</v>
      </c>
      <c r="Q2" s="201">
        <v>0</v>
      </c>
      <c r="R2" s="201">
        <v>0</v>
      </c>
      <c r="S2" s="201">
        <v>0</v>
      </c>
      <c r="T2" s="201">
        <v>0</v>
      </c>
      <c r="U2" s="201">
        <v>0</v>
      </c>
      <c r="V2" s="201">
        <v>0</v>
      </c>
      <c r="W2" s="201">
        <v>0</v>
      </c>
      <c r="X2" s="201">
        <v>0</v>
      </c>
      <c r="Y2" s="201">
        <v>0</v>
      </c>
      <c r="Z2" s="201">
        <v>0</v>
      </c>
      <c r="AA2" s="201">
        <v>0</v>
      </c>
      <c r="AB2" s="201">
        <v>0</v>
      </c>
      <c r="AD2" s="96">
        <f t="shared" ref="AD2:AD28" si="1">B2/255</f>
        <v>0</v>
      </c>
      <c r="AE2" s="96">
        <f t="shared" ref="AE2:AE28" si="2">C2/255</f>
        <v>0</v>
      </c>
      <c r="AF2" s="96">
        <f t="shared" ref="AF2:AF28" si="3">D2/255</f>
        <v>0</v>
      </c>
      <c r="AG2" s="96">
        <f t="shared" ref="AG2:AG28" si="4">E2/255</f>
        <v>0</v>
      </c>
      <c r="AH2" s="96">
        <f t="shared" ref="AH2:AH28" si="5">F2/255</f>
        <v>0</v>
      </c>
      <c r="AI2" s="96">
        <f t="shared" ref="AI2:AI28" si="6">G2/255</f>
        <v>0</v>
      </c>
      <c r="AJ2" s="96">
        <f t="shared" ref="AJ2:AJ28" si="7">H2/255</f>
        <v>0</v>
      </c>
      <c r="AK2" s="96">
        <f t="shared" ref="AK2:AK28" si="8">I2/255</f>
        <v>0</v>
      </c>
      <c r="AL2" s="96">
        <f t="shared" ref="AL2:AL28" si="9">J2/255</f>
        <v>0</v>
      </c>
      <c r="AM2" s="96">
        <f t="shared" ref="AM2:AM28" si="10">K2/255</f>
        <v>0</v>
      </c>
      <c r="AN2" s="96">
        <f t="shared" ref="AN2:AN28" si="11">L2/255</f>
        <v>0</v>
      </c>
      <c r="AO2" s="96">
        <f t="shared" ref="AO2:AO28" si="12">M2/255</f>
        <v>0</v>
      </c>
      <c r="AP2" s="96">
        <f t="shared" ref="AP2:AP28" si="13">N2/255</f>
        <v>0</v>
      </c>
      <c r="AQ2" s="96">
        <f t="shared" ref="AQ2:AQ28" si="14">O2/255</f>
        <v>0</v>
      </c>
      <c r="AR2" s="96">
        <f t="shared" ref="AR2:AR28" si="15">P2/255</f>
        <v>0</v>
      </c>
      <c r="AS2" s="96">
        <f t="shared" ref="AS2:AS28" si="16">Q2/255</f>
        <v>0</v>
      </c>
      <c r="AT2" s="96">
        <f t="shared" ref="AT2:AT28" si="17">R2/255</f>
        <v>0</v>
      </c>
      <c r="AU2" s="96">
        <f t="shared" ref="AU2:AU28" si="18">S2/255</f>
        <v>0</v>
      </c>
      <c r="AV2" s="96">
        <f t="shared" ref="AV2:AV28" si="19">T2/255</f>
        <v>0</v>
      </c>
      <c r="AW2" s="96">
        <f t="shared" ref="AW2:AW28" si="20">U2/255</f>
        <v>0</v>
      </c>
      <c r="AX2" s="96">
        <f t="shared" ref="AX2:AX28" si="21">V2/255</f>
        <v>0</v>
      </c>
      <c r="AY2" s="96">
        <f t="shared" ref="AY2:AY28" si="22">W2/255</f>
        <v>0</v>
      </c>
      <c r="AZ2" s="96">
        <f t="shared" ref="AZ2:AZ28" si="23">X2/255</f>
        <v>0</v>
      </c>
      <c r="BA2" s="96">
        <f t="shared" ref="BA2:BA28" si="24">Y2/255</f>
        <v>0</v>
      </c>
      <c r="BB2" s="96">
        <f t="shared" ref="BB2:BB28" si="25">Z2/255</f>
        <v>0</v>
      </c>
      <c r="BC2" s="96">
        <f t="shared" ref="BC2:BC28" si="26">AA2/255</f>
        <v>0</v>
      </c>
      <c r="BD2" s="96">
        <f t="shared" ref="BD2:BD28" si="27">AB2/255</f>
        <v>0</v>
      </c>
      <c r="BE2" s="96">
        <f t="shared" ref="BE2:BE28" si="28">AC2/255</f>
        <v>0</v>
      </c>
    </row>
    <row r="3" spans="1:57" ht="19.5" customHeight="1" thickBot="1">
      <c r="A3" s="203">
        <v>0</v>
      </c>
      <c r="B3" s="203">
        <v>0</v>
      </c>
      <c r="C3" s="203">
        <v>0</v>
      </c>
      <c r="D3" s="203">
        <v>0</v>
      </c>
      <c r="E3" s="203">
        <v>0</v>
      </c>
      <c r="F3" s="203">
        <v>0</v>
      </c>
      <c r="G3" s="203">
        <v>0</v>
      </c>
      <c r="H3" s="203">
        <v>0</v>
      </c>
      <c r="I3" s="203">
        <v>0</v>
      </c>
      <c r="J3" s="203">
        <v>0</v>
      </c>
      <c r="K3" s="203">
        <v>0</v>
      </c>
      <c r="L3" s="203">
        <v>0</v>
      </c>
      <c r="M3" s="203">
        <v>0</v>
      </c>
      <c r="N3" s="203">
        <v>0</v>
      </c>
      <c r="O3" s="203">
        <v>0</v>
      </c>
      <c r="P3" s="201">
        <v>0</v>
      </c>
      <c r="Q3" s="201">
        <v>0</v>
      </c>
      <c r="R3" s="201">
        <v>0</v>
      </c>
      <c r="S3" s="201">
        <v>0</v>
      </c>
      <c r="T3" s="201">
        <v>0</v>
      </c>
      <c r="U3" s="201">
        <v>0</v>
      </c>
      <c r="V3" s="201">
        <v>0</v>
      </c>
      <c r="W3" s="201">
        <v>0</v>
      </c>
      <c r="X3" s="201">
        <v>0</v>
      </c>
      <c r="Y3" s="201">
        <v>0</v>
      </c>
      <c r="Z3" s="201">
        <v>0</v>
      </c>
      <c r="AA3" s="201">
        <v>0</v>
      </c>
      <c r="AB3" s="201">
        <v>0</v>
      </c>
      <c r="AD3" s="96">
        <f t="shared" si="1"/>
        <v>0</v>
      </c>
      <c r="AE3" s="96">
        <f t="shared" si="2"/>
        <v>0</v>
      </c>
      <c r="AF3" s="96">
        <f t="shared" si="3"/>
        <v>0</v>
      </c>
      <c r="AG3" s="96">
        <f t="shared" si="4"/>
        <v>0</v>
      </c>
      <c r="AH3" s="96">
        <f t="shared" si="5"/>
        <v>0</v>
      </c>
      <c r="AI3" s="96">
        <f t="shared" si="6"/>
        <v>0</v>
      </c>
      <c r="AJ3" s="96">
        <f t="shared" si="7"/>
        <v>0</v>
      </c>
      <c r="AK3" s="96">
        <f t="shared" si="8"/>
        <v>0</v>
      </c>
      <c r="AL3" s="96">
        <f t="shared" si="9"/>
        <v>0</v>
      </c>
      <c r="AM3" s="96">
        <f t="shared" si="10"/>
        <v>0</v>
      </c>
      <c r="AN3" s="96">
        <f t="shared" si="11"/>
        <v>0</v>
      </c>
      <c r="AO3" s="96">
        <f t="shared" si="12"/>
        <v>0</v>
      </c>
      <c r="AP3" s="96">
        <f t="shared" si="13"/>
        <v>0</v>
      </c>
      <c r="AQ3" s="96">
        <f t="shared" si="14"/>
        <v>0</v>
      </c>
      <c r="AR3" s="96">
        <f t="shared" si="15"/>
        <v>0</v>
      </c>
      <c r="AS3" s="96">
        <f t="shared" si="16"/>
        <v>0</v>
      </c>
      <c r="AT3" s="96">
        <f t="shared" si="17"/>
        <v>0</v>
      </c>
      <c r="AU3" s="96">
        <f t="shared" si="18"/>
        <v>0</v>
      </c>
      <c r="AV3" s="96">
        <f t="shared" si="19"/>
        <v>0</v>
      </c>
      <c r="AW3" s="96">
        <f t="shared" si="20"/>
        <v>0</v>
      </c>
      <c r="AX3" s="96">
        <f t="shared" si="21"/>
        <v>0</v>
      </c>
      <c r="AY3" s="96">
        <f t="shared" si="22"/>
        <v>0</v>
      </c>
      <c r="AZ3" s="96">
        <f t="shared" si="23"/>
        <v>0</v>
      </c>
      <c r="BA3" s="96">
        <f t="shared" si="24"/>
        <v>0</v>
      </c>
      <c r="BB3" s="96">
        <f t="shared" si="25"/>
        <v>0</v>
      </c>
      <c r="BC3" s="96">
        <f t="shared" si="26"/>
        <v>0</v>
      </c>
      <c r="BD3" s="96">
        <f t="shared" si="27"/>
        <v>0</v>
      </c>
      <c r="BE3" s="96">
        <f t="shared" si="28"/>
        <v>0</v>
      </c>
    </row>
    <row r="4" spans="1:57" ht="19.5" customHeight="1" thickBot="1">
      <c r="A4" s="204">
        <v>0</v>
      </c>
      <c r="B4" s="204">
        <v>0</v>
      </c>
      <c r="C4" s="204">
        <v>0</v>
      </c>
      <c r="D4" s="204">
        <v>0</v>
      </c>
      <c r="E4" s="204">
        <v>0</v>
      </c>
      <c r="F4" s="204">
        <v>0</v>
      </c>
      <c r="G4" s="204">
        <v>0</v>
      </c>
      <c r="H4" s="204">
        <v>0</v>
      </c>
      <c r="I4" s="204">
        <v>0</v>
      </c>
      <c r="J4" s="204">
        <v>0</v>
      </c>
      <c r="K4" s="204">
        <v>255</v>
      </c>
      <c r="L4" s="204">
        <v>255</v>
      </c>
      <c r="M4" s="204">
        <v>255</v>
      </c>
      <c r="N4" s="204">
        <v>255</v>
      </c>
      <c r="O4" s="204">
        <v>124</v>
      </c>
      <c r="P4" s="202">
        <v>255</v>
      </c>
      <c r="Q4" s="202">
        <v>255</v>
      </c>
      <c r="R4" s="202">
        <v>255</v>
      </c>
      <c r="S4" s="202">
        <v>255</v>
      </c>
      <c r="T4" s="202">
        <v>255</v>
      </c>
      <c r="U4" s="202">
        <v>0</v>
      </c>
      <c r="V4" s="202">
        <v>0</v>
      </c>
      <c r="W4" s="202">
        <v>0</v>
      </c>
      <c r="X4" s="202">
        <v>0</v>
      </c>
      <c r="Y4" s="202">
        <v>0</v>
      </c>
      <c r="Z4" s="202">
        <v>0</v>
      </c>
      <c r="AA4" s="202">
        <v>0</v>
      </c>
      <c r="AB4" s="202">
        <v>0</v>
      </c>
      <c r="AD4" s="96">
        <f t="shared" si="1"/>
        <v>0</v>
      </c>
      <c r="AE4" s="96">
        <f t="shared" si="2"/>
        <v>0</v>
      </c>
      <c r="AF4" s="96">
        <f t="shared" si="3"/>
        <v>0</v>
      </c>
      <c r="AG4" s="96">
        <f t="shared" si="4"/>
        <v>0</v>
      </c>
      <c r="AH4" s="96">
        <f t="shared" si="5"/>
        <v>0</v>
      </c>
      <c r="AI4" s="96">
        <f t="shared" si="6"/>
        <v>0</v>
      </c>
      <c r="AJ4" s="96">
        <f t="shared" si="7"/>
        <v>0</v>
      </c>
      <c r="AK4" s="96">
        <f t="shared" si="8"/>
        <v>0</v>
      </c>
      <c r="AL4" s="96">
        <f t="shared" si="9"/>
        <v>0</v>
      </c>
      <c r="AM4" s="96">
        <f t="shared" si="10"/>
        <v>1</v>
      </c>
      <c r="AN4" s="96">
        <f t="shared" si="11"/>
        <v>1</v>
      </c>
      <c r="AO4" s="96">
        <f t="shared" si="12"/>
        <v>1</v>
      </c>
      <c r="AP4" s="96">
        <f t="shared" si="13"/>
        <v>1</v>
      </c>
      <c r="AQ4" s="96">
        <f t="shared" si="14"/>
        <v>0.48627450980392156</v>
      </c>
      <c r="AR4" s="96">
        <f t="shared" si="15"/>
        <v>1</v>
      </c>
      <c r="AS4" s="96">
        <f t="shared" si="16"/>
        <v>1</v>
      </c>
      <c r="AT4" s="96">
        <f t="shared" si="17"/>
        <v>1</v>
      </c>
      <c r="AU4" s="96">
        <f t="shared" si="18"/>
        <v>1</v>
      </c>
      <c r="AV4" s="96">
        <f t="shared" si="19"/>
        <v>1</v>
      </c>
      <c r="AW4" s="96">
        <f t="shared" si="20"/>
        <v>0</v>
      </c>
      <c r="AX4" s="96">
        <f t="shared" si="21"/>
        <v>0</v>
      </c>
      <c r="AY4" s="96">
        <f t="shared" si="22"/>
        <v>0</v>
      </c>
      <c r="AZ4" s="96">
        <f t="shared" si="23"/>
        <v>0</v>
      </c>
      <c r="BA4" s="96">
        <f t="shared" si="24"/>
        <v>0</v>
      </c>
      <c r="BB4" s="96">
        <f t="shared" si="25"/>
        <v>0</v>
      </c>
      <c r="BC4" s="96">
        <f t="shared" si="26"/>
        <v>0</v>
      </c>
      <c r="BD4" s="96">
        <f t="shared" si="27"/>
        <v>0</v>
      </c>
      <c r="BE4" s="96">
        <f t="shared" si="28"/>
        <v>0</v>
      </c>
    </row>
    <row r="5" spans="1:57" ht="19.5" customHeight="1" thickBot="1">
      <c r="A5" s="96">
        <v>0</v>
      </c>
      <c r="B5" s="96">
        <v>0</v>
      </c>
      <c r="C5" s="96">
        <v>0</v>
      </c>
      <c r="D5" s="96">
        <v>0</v>
      </c>
      <c r="E5" s="96">
        <v>0</v>
      </c>
      <c r="F5" s="96">
        <v>0</v>
      </c>
      <c r="G5" s="96">
        <v>0</v>
      </c>
      <c r="H5" s="96">
        <v>0</v>
      </c>
      <c r="I5" s="96">
        <v>0</v>
      </c>
      <c r="J5" s="96">
        <v>0</v>
      </c>
      <c r="K5" s="96">
        <v>255</v>
      </c>
      <c r="L5" s="96">
        <v>255</v>
      </c>
      <c r="M5" s="96">
        <v>124</v>
      </c>
      <c r="N5" s="96">
        <v>255</v>
      </c>
      <c r="O5" s="96">
        <v>255</v>
      </c>
      <c r="P5" s="95">
        <v>255</v>
      </c>
      <c r="Q5" s="95">
        <v>255</v>
      </c>
      <c r="R5" s="95">
        <v>255</v>
      </c>
      <c r="S5" s="95">
        <v>255</v>
      </c>
      <c r="T5" s="95">
        <v>255</v>
      </c>
      <c r="U5" s="95">
        <v>0</v>
      </c>
      <c r="V5" s="95">
        <v>0</v>
      </c>
      <c r="W5" s="95">
        <v>0</v>
      </c>
      <c r="X5" s="95">
        <v>0</v>
      </c>
      <c r="Y5" s="95">
        <v>0</v>
      </c>
      <c r="Z5" s="95">
        <v>0</v>
      </c>
      <c r="AA5" s="95">
        <v>0</v>
      </c>
      <c r="AB5" s="95">
        <v>0</v>
      </c>
      <c r="AD5" s="96">
        <f t="shared" si="1"/>
        <v>0</v>
      </c>
      <c r="AE5" s="96">
        <f t="shared" si="2"/>
        <v>0</v>
      </c>
      <c r="AF5" s="96">
        <f t="shared" si="3"/>
        <v>0</v>
      </c>
      <c r="AG5" s="96">
        <f t="shared" si="4"/>
        <v>0</v>
      </c>
      <c r="AH5" s="96">
        <f t="shared" si="5"/>
        <v>0</v>
      </c>
      <c r="AI5" s="96">
        <f t="shared" si="6"/>
        <v>0</v>
      </c>
      <c r="AJ5" s="96">
        <f t="shared" si="7"/>
        <v>0</v>
      </c>
      <c r="AK5" s="96">
        <f t="shared" si="8"/>
        <v>0</v>
      </c>
      <c r="AL5" s="96">
        <f t="shared" si="9"/>
        <v>0</v>
      </c>
      <c r="AM5" s="96">
        <f t="shared" si="10"/>
        <v>1</v>
      </c>
      <c r="AN5" s="96">
        <f t="shared" si="11"/>
        <v>1</v>
      </c>
      <c r="AO5" s="96">
        <f t="shared" si="12"/>
        <v>0.48627450980392156</v>
      </c>
      <c r="AP5" s="96">
        <f t="shared" si="13"/>
        <v>1</v>
      </c>
      <c r="AQ5" s="96">
        <f t="shared" si="14"/>
        <v>1</v>
      </c>
      <c r="AR5" s="96">
        <f t="shared" si="15"/>
        <v>1</v>
      </c>
      <c r="AS5" s="96">
        <f t="shared" si="16"/>
        <v>1</v>
      </c>
      <c r="AT5" s="96">
        <f t="shared" si="17"/>
        <v>1</v>
      </c>
      <c r="AU5" s="96">
        <f t="shared" si="18"/>
        <v>1</v>
      </c>
      <c r="AV5" s="96">
        <f t="shared" si="19"/>
        <v>1</v>
      </c>
      <c r="AW5" s="96">
        <f t="shared" si="20"/>
        <v>0</v>
      </c>
      <c r="AX5" s="96">
        <f t="shared" si="21"/>
        <v>0</v>
      </c>
      <c r="AY5" s="96">
        <f t="shared" si="22"/>
        <v>0</v>
      </c>
      <c r="AZ5" s="96">
        <f t="shared" si="23"/>
        <v>0</v>
      </c>
      <c r="BA5" s="96">
        <f t="shared" si="24"/>
        <v>0</v>
      </c>
      <c r="BB5" s="96">
        <f t="shared" si="25"/>
        <v>0</v>
      </c>
      <c r="BC5" s="96">
        <f t="shared" si="26"/>
        <v>0</v>
      </c>
      <c r="BD5" s="96">
        <f t="shared" si="27"/>
        <v>0</v>
      </c>
      <c r="BE5" s="96">
        <f t="shared" si="28"/>
        <v>0</v>
      </c>
    </row>
    <row r="6" spans="1:57" ht="19.5" customHeight="1" thickBot="1">
      <c r="A6" s="96">
        <v>0</v>
      </c>
      <c r="B6" s="96">
        <v>0</v>
      </c>
      <c r="C6" s="96">
        <v>0</v>
      </c>
      <c r="D6" s="96">
        <v>0</v>
      </c>
      <c r="E6" s="96">
        <v>0</v>
      </c>
      <c r="F6" s="96">
        <v>0</v>
      </c>
      <c r="G6" s="96">
        <v>0</v>
      </c>
      <c r="H6" s="96">
        <v>0</v>
      </c>
      <c r="I6" s="96">
        <v>0</v>
      </c>
      <c r="J6" s="96">
        <v>0</v>
      </c>
      <c r="K6" s="96">
        <v>255</v>
      </c>
      <c r="L6" s="96">
        <v>124</v>
      </c>
      <c r="M6" s="96">
        <v>0</v>
      </c>
      <c r="N6" s="96">
        <v>0</v>
      </c>
      <c r="O6" s="96">
        <v>0</v>
      </c>
      <c r="P6" s="95">
        <v>0</v>
      </c>
      <c r="Q6" s="95">
        <v>0</v>
      </c>
      <c r="R6" s="95">
        <v>0</v>
      </c>
      <c r="S6" s="95">
        <v>0</v>
      </c>
      <c r="T6" s="95">
        <v>0</v>
      </c>
      <c r="U6" s="95">
        <v>0</v>
      </c>
      <c r="V6" s="95">
        <v>0</v>
      </c>
      <c r="W6" s="95">
        <v>0</v>
      </c>
      <c r="X6" s="95">
        <v>0</v>
      </c>
      <c r="Y6" s="95">
        <v>0</v>
      </c>
      <c r="Z6" s="95">
        <v>0</v>
      </c>
      <c r="AA6" s="95">
        <v>0</v>
      </c>
      <c r="AB6" s="95">
        <v>0</v>
      </c>
      <c r="AD6" s="96">
        <f t="shared" si="1"/>
        <v>0</v>
      </c>
      <c r="AE6" s="96">
        <f t="shared" si="2"/>
        <v>0</v>
      </c>
      <c r="AF6" s="96">
        <f t="shared" si="3"/>
        <v>0</v>
      </c>
      <c r="AG6" s="96">
        <f t="shared" si="4"/>
        <v>0</v>
      </c>
      <c r="AH6" s="96">
        <f t="shared" si="5"/>
        <v>0</v>
      </c>
      <c r="AI6" s="96">
        <f t="shared" si="6"/>
        <v>0</v>
      </c>
      <c r="AJ6" s="96">
        <f t="shared" si="7"/>
        <v>0</v>
      </c>
      <c r="AK6" s="96">
        <f t="shared" si="8"/>
        <v>0</v>
      </c>
      <c r="AL6" s="96">
        <f t="shared" si="9"/>
        <v>0</v>
      </c>
      <c r="AM6" s="96">
        <f t="shared" si="10"/>
        <v>1</v>
      </c>
      <c r="AN6" s="96">
        <f t="shared" si="11"/>
        <v>0.48627450980392156</v>
      </c>
      <c r="AO6" s="96">
        <f t="shared" si="12"/>
        <v>0</v>
      </c>
      <c r="AP6" s="96">
        <f t="shared" si="13"/>
        <v>0</v>
      </c>
      <c r="AQ6" s="96">
        <f t="shared" si="14"/>
        <v>0</v>
      </c>
      <c r="AR6" s="96">
        <f t="shared" si="15"/>
        <v>0</v>
      </c>
      <c r="AS6" s="96">
        <f t="shared" si="16"/>
        <v>0</v>
      </c>
      <c r="AT6" s="96">
        <f t="shared" si="17"/>
        <v>0</v>
      </c>
      <c r="AU6" s="96">
        <f t="shared" si="18"/>
        <v>0</v>
      </c>
      <c r="AV6" s="96">
        <f t="shared" si="19"/>
        <v>0</v>
      </c>
      <c r="AW6" s="96">
        <f t="shared" si="20"/>
        <v>0</v>
      </c>
      <c r="AX6" s="96">
        <f t="shared" si="21"/>
        <v>0</v>
      </c>
      <c r="AY6" s="96">
        <f t="shared" si="22"/>
        <v>0</v>
      </c>
      <c r="AZ6" s="96">
        <f t="shared" si="23"/>
        <v>0</v>
      </c>
      <c r="BA6" s="96">
        <f t="shared" si="24"/>
        <v>0</v>
      </c>
      <c r="BB6" s="96">
        <f t="shared" si="25"/>
        <v>0</v>
      </c>
      <c r="BC6" s="96">
        <f t="shared" si="26"/>
        <v>0</v>
      </c>
      <c r="BD6" s="96">
        <f t="shared" si="27"/>
        <v>0</v>
      </c>
      <c r="BE6" s="96">
        <f t="shared" si="28"/>
        <v>0</v>
      </c>
    </row>
    <row r="7" spans="1:57" ht="19.5" customHeight="1" thickBot="1">
      <c r="A7" s="96">
        <v>0</v>
      </c>
      <c r="B7" s="96">
        <v>0</v>
      </c>
      <c r="C7" s="96">
        <v>0</v>
      </c>
      <c r="D7" s="96">
        <v>0</v>
      </c>
      <c r="E7" s="96">
        <v>0</v>
      </c>
      <c r="F7" s="96">
        <v>0</v>
      </c>
      <c r="G7" s="96">
        <v>0</v>
      </c>
      <c r="H7" s="96">
        <v>0</v>
      </c>
      <c r="I7" s="96">
        <v>0</v>
      </c>
      <c r="J7" s="96">
        <v>0</v>
      </c>
      <c r="K7" s="96">
        <v>255</v>
      </c>
      <c r="L7" s="96">
        <v>255</v>
      </c>
      <c r="M7" s="96">
        <v>0</v>
      </c>
      <c r="N7" s="96">
        <v>0</v>
      </c>
      <c r="O7" s="96">
        <v>0</v>
      </c>
      <c r="P7" s="95">
        <v>0</v>
      </c>
      <c r="Q7" s="95">
        <v>0</v>
      </c>
      <c r="R7" s="95">
        <v>0</v>
      </c>
      <c r="S7" s="95">
        <v>0</v>
      </c>
      <c r="T7" s="95">
        <v>0</v>
      </c>
      <c r="U7" s="95">
        <v>0</v>
      </c>
      <c r="V7" s="95">
        <v>0</v>
      </c>
      <c r="W7" s="95">
        <v>0</v>
      </c>
      <c r="X7" s="95">
        <v>0</v>
      </c>
      <c r="Y7" s="95">
        <v>0</v>
      </c>
      <c r="Z7" s="95">
        <v>0</v>
      </c>
      <c r="AA7" s="95">
        <v>0</v>
      </c>
      <c r="AB7" s="95">
        <v>0</v>
      </c>
      <c r="AD7" s="96">
        <f t="shared" si="1"/>
        <v>0</v>
      </c>
      <c r="AE7" s="96">
        <f t="shared" si="2"/>
        <v>0</v>
      </c>
      <c r="AF7" s="96">
        <f t="shared" si="3"/>
        <v>0</v>
      </c>
      <c r="AG7" s="96">
        <f t="shared" si="4"/>
        <v>0</v>
      </c>
      <c r="AH7" s="96">
        <f t="shared" si="5"/>
        <v>0</v>
      </c>
      <c r="AI7" s="96">
        <f t="shared" si="6"/>
        <v>0</v>
      </c>
      <c r="AJ7" s="96">
        <f t="shared" si="7"/>
        <v>0</v>
      </c>
      <c r="AK7" s="96">
        <f t="shared" si="8"/>
        <v>0</v>
      </c>
      <c r="AL7" s="96">
        <f t="shared" si="9"/>
        <v>0</v>
      </c>
      <c r="AM7" s="96">
        <f t="shared" si="10"/>
        <v>1</v>
      </c>
      <c r="AN7" s="96">
        <f t="shared" si="11"/>
        <v>1</v>
      </c>
      <c r="AO7" s="96">
        <f t="shared" si="12"/>
        <v>0</v>
      </c>
      <c r="AP7" s="96">
        <f t="shared" si="13"/>
        <v>0</v>
      </c>
      <c r="AQ7" s="96">
        <f t="shared" si="14"/>
        <v>0</v>
      </c>
      <c r="AR7" s="96">
        <f t="shared" si="15"/>
        <v>0</v>
      </c>
      <c r="AS7" s="96">
        <f t="shared" si="16"/>
        <v>0</v>
      </c>
      <c r="AT7" s="96">
        <f t="shared" si="17"/>
        <v>0</v>
      </c>
      <c r="AU7" s="96">
        <f t="shared" si="18"/>
        <v>0</v>
      </c>
      <c r="AV7" s="96">
        <f t="shared" si="19"/>
        <v>0</v>
      </c>
      <c r="AW7" s="96">
        <f t="shared" si="20"/>
        <v>0</v>
      </c>
      <c r="AX7" s="96">
        <f t="shared" si="21"/>
        <v>0</v>
      </c>
      <c r="AY7" s="96">
        <f t="shared" si="22"/>
        <v>0</v>
      </c>
      <c r="AZ7" s="96">
        <f t="shared" si="23"/>
        <v>0</v>
      </c>
      <c r="BA7" s="96">
        <f t="shared" si="24"/>
        <v>0</v>
      </c>
      <c r="BB7" s="96">
        <f t="shared" si="25"/>
        <v>0</v>
      </c>
      <c r="BC7" s="96">
        <f t="shared" si="26"/>
        <v>0</v>
      </c>
      <c r="BD7" s="96">
        <f t="shared" si="27"/>
        <v>0</v>
      </c>
      <c r="BE7" s="96">
        <f t="shared" si="28"/>
        <v>0</v>
      </c>
    </row>
    <row r="8" spans="1:57" ht="19.5" customHeight="1" thickBot="1">
      <c r="A8" s="96">
        <v>0</v>
      </c>
      <c r="B8" s="96">
        <v>0</v>
      </c>
      <c r="C8" s="96">
        <v>0</v>
      </c>
      <c r="D8" s="96">
        <v>0</v>
      </c>
      <c r="E8" s="96">
        <v>0</v>
      </c>
      <c r="F8" s="96">
        <v>0</v>
      </c>
      <c r="G8" s="96">
        <v>0</v>
      </c>
      <c r="H8" s="96">
        <v>0</v>
      </c>
      <c r="I8" s="96">
        <v>0</v>
      </c>
      <c r="J8" s="96">
        <v>0</v>
      </c>
      <c r="K8" s="96">
        <v>124</v>
      </c>
      <c r="L8" s="96">
        <v>255</v>
      </c>
      <c r="M8" s="96">
        <v>0</v>
      </c>
      <c r="N8" s="96">
        <v>0</v>
      </c>
      <c r="O8" s="96">
        <v>0</v>
      </c>
      <c r="P8" s="95">
        <v>0</v>
      </c>
      <c r="Q8" s="95">
        <v>0</v>
      </c>
      <c r="R8" s="95">
        <v>0</v>
      </c>
      <c r="S8" s="95">
        <v>0</v>
      </c>
      <c r="T8" s="95">
        <v>0</v>
      </c>
      <c r="U8" s="95">
        <v>0</v>
      </c>
      <c r="V8" s="95">
        <v>0</v>
      </c>
      <c r="W8" s="95">
        <v>0</v>
      </c>
      <c r="X8" s="95">
        <v>0</v>
      </c>
      <c r="Y8" s="95">
        <v>0</v>
      </c>
      <c r="Z8" s="95">
        <v>0</v>
      </c>
      <c r="AA8" s="95">
        <v>0</v>
      </c>
      <c r="AB8" s="95">
        <v>0</v>
      </c>
      <c r="AD8" s="96">
        <f t="shared" si="1"/>
        <v>0</v>
      </c>
      <c r="AE8" s="96">
        <f t="shared" si="2"/>
        <v>0</v>
      </c>
      <c r="AF8" s="96">
        <f t="shared" si="3"/>
        <v>0</v>
      </c>
      <c r="AG8" s="96">
        <f t="shared" si="4"/>
        <v>0</v>
      </c>
      <c r="AH8" s="96">
        <f t="shared" si="5"/>
        <v>0</v>
      </c>
      <c r="AI8" s="96">
        <f t="shared" si="6"/>
        <v>0</v>
      </c>
      <c r="AJ8" s="96">
        <f t="shared" si="7"/>
        <v>0</v>
      </c>
      <c r="AK8" s="96">
        <f t="shared" si="8"/>
        <v>0</v>
      </c>
      <c r="AL8" s="96">
        <f t="shared" si="9"/>
        <v>0</v>
      </c>
      <c r="AM8" s="96">
        <f t="shared" si="10"/>
        <v>0.48627450980392156</v>
      </c>
      <c r="AN8" s="96">
        <f t="shared" si="11"/>
        <v>1</v>
      </c>
      <c r="AO8" s="96">
        <f t="shared" si="12"/>
        <v>0</v>
      </c>
      <c r="AP8" s="96">
        <f t="shared" si="13"/>
        <v>0</v>
      </c>
      <c r="AQ8" s="96">
        <f t="shared" si="14"/>
        <v>0</v>
      </c>
      <c r="AR8" s="96">
        <f t="shared" si="15"/>
        <v>0</v>
      </c>
      <c r="AS8" s="96">
        <f t="shared" si="16"/>
        <v>0</v>
      </c>
      <c r="AT8" s="96">
        <f t="shared" si="17"/>
        <v>0</v>
      </c>
      <c r="AU8" s="96">
        <f t="shared" si="18"/>
        <v>0</v>
      </c>
      <c r="AV8" s="96">
        <f t="shared" si="19"/>
        <v>0</v>
      </c>
      <c r="AW8" s="96">
        <f t="shared" si="20"/>
        <v>0</v>
      </c>
      <c r="AX8" s="96">
        <f t="shared" si="21"/>
        <v>0</v>
      </c>
      <c r="AY8" s="96">
        <f t="shared" si="22"/>
        <v>0</v>
      </c>
      <c r="AZ8" s="96">
        <f t="shared" si="23"/>
        <v>0</v>
      </c>
      <c r="BA8" s="96">
        <f t="shared" si="24"/>
        <v>0</v>
      </c>
      <c r="BB8" s="96">
        <f t="shared" si="25"/>
        <v>0</v>
      </c>
      <c r="BC8" s="96">
        <f t="shared" si="26"/>
        <v>0</v>
      </c>
      <c r="BD8" s="96">
        <f t="shared" si="27"/>
        <v>0</v>
      </c>
      <c r="BE8" s="96">
        <f t="shared" si="28"/>
        <v>0</v>
      </c>
    </row>
    <row r="9" spans="1:57" ht="19.5" customHeight="1" thickBot="1">
      <c r="A9" s="96">
        <v>0</v>
      </c>
      <c r="B9" s="96">
        <v>0</v>
      </c>
      <c r="C9" s="96">
        <v>0</v>
      </c>
      <c r="D9" s="96">
        <v>0</v>
      </c>
      <c r="E9" s="96">
        <v>0</v>
      </c>
      <c r="F9" s="96">
        <v>0</v>
      </c>
      <c r="G9" s="96">
        <v>0</v>
      </c>
      <c r="H9" s="96">
        <v>0</v>
      </c>
      <c r="I9" s="96">
        <v>0</v>
      </c>
      <c r="J9" s="96">
        <v>0</v>
      </c>
      <c r="K9" s="96">
        <v>124</v>
      </c>
      <c r="L9" s="96">
        <v>255</v>
      </c>
      <c r="M9" s="96">
        <v>0</v>
      </c>
      <c r="N9" s="96">
        <v>0</v>
      </c>
      <c r="O9" s="96">
        <v>0</v>
      </c>
      <c r="P9" s="95">
        <v>0</v>
      </c>
      <c r="Q9" s="95">
        <v>0</v>
      </c>
      <c r="R9" s="95">
        <v>0</v>
      </c>
      <c r="S9" s="95">
        <v>0</v>
      </c>
      <c r="T9" s="95">
        <v>0</v>
      </c>
      <c r="U9" s="95">
        <v>0</v>
      </c>
      <c r="V9" s="95">
        <v>0</v>
      </c>
      <c r="W9" s="95">
        <v>0</v>
      </c>
      <c r="X9" s="95">
        <v>0</v>
      </c>
      <c r="Y9" s="95">
        <v>0</v>
      </c>
      <c r="Z9" s="95">
        <v>0</v>
      </c>
      <c r="AA9" s="95">
        <v>0</v>
      </c>
      <c r="AB9" s="95">
        <v>0</v>
      </c>
      <c r="AD9" s="96">
        <f t="shared" si="1"/>
        <v>0</v>
      </c>
      <c r="AE9" s="96">
        <f t="shared" si="2"/>
        <v>0</v>
      </c>
      <c r="AF9" s="96">
        <f t="shared" si="3"/>
        <v>0</v>
      </c>
      <c r="AG9" s="96">
        <f t="shared" si="4"/>
        <v>0</v>
      </c>
      <c r="AH9" s="96">
        <f t="shared" si="5"/>
        <v>0</v>
      </c>
      <c r="AI9" s="96">
        <f t="shared" si="6"/>
        <v>0</v>
      </c>
      <c r="AJ9" s="96">
        <f t="shared" si="7"/>
        <v>0</v>
      </c>
      <c r="AK9" s="96">
        <f t="shared" si="8"/>
        <v>0</v>
      </c>
      <c r="AL9" s="96">
        <f t="shared" si="9"/>
        <v>0</v>
      </c>
      <c r="AM9" s="96">
        <f t="shared" si="10"/>
        <v>0.48627450980392156</v>
      </c>
      <c r="AN9" s="96">
        <f t="shared" si="11"/>
        <v>1</v>
      </c>
      <c r="AO9" s="96">
        <f t="shared" si="12"/>
        <v>0</v>
      </c>
      <c r="AP9" s="96">
        <f t="shared" si="13"/>
        <v>0</v>
      </c>
      <c r="AQ9" s="96">
        <f t="shared" si="14"/>
        <v>0</v>
      </c>
      <c r="AR9" s="96">
        <f t="shared" si="15"/>
        <v>0</v>
      </c>
      <c r="AS9" s="96">
        <f t="shared" si="16"/>
        <v>0</v>
      </c>
      <c r="AT9" s="96">
        <f t="shared" si="17"/>
        <v>0</v>
      </c>
      <c r="AU9" s="96">
        <f t="shared" si="18"/>
        <v>0</v>
      </c>
      <c r="AV9" s="96">
        <f t="shared" si="19"/>
        <v>0</v>
      </c>
      <c r="AW9" s="96">
        <f t="shared" si="20"/>
        <v>0</v>
      </c>
      <c r="AX9" s="96">
        <f t="shared" si="21"/>
        <v>0</v>
      </c>
      <c r="AY9" s="96">
        <f t="shared" si="22"/>
        <v>0</v>
      </c>
      <c r="AZ9" s="96">
        <f t="shared" si="23"/>
        <v>0</v>
      </c>
      <c r="BA9" s="96">
        <f t="shared" si="24"/>
        <v>0</v>
      </c>
      <c r="BB9" s="96">
        <f t="shared" si="25"/>
        <v>0</v>
      </c>
      <c r="BC9" s="96">
        <f t="shared" si="26"/>
        <v>0</v>
      </c>
      <c r="BD9" s="96">
        <f t="shared" si="27"/>
        <v>0</v>
      </c>
      <c r="BE9" s="96">
        <f t="shared" si="28"/>
        <v>0</v>
      </c>
    </row>
    <row r="10" spans="1:57" ht="19.5" customHeight="1" thickBot="1">
      <c r="A10" s="96">
        <v>0</v>
      </c>
      <c r="B10" s="96">
        <v>0</v>
      </c>
      <c r="C10" s="96">
        <v>0</v>
      </c>
      <c r="D10" s="96">
        <v>0</v>
      </c>
      <c r="E10" s="96">
        <v>0</v>
      </c>
      <c r="F10" s="96">
        <v>0</v>
      </c>
      <c r="G10" s="96">
        <v>0</v>
      </c>
      <c r="H10" s="96">
        <v>0</v>
      </c>
      <c r="I10" s="96">
        <v>0</v>
      </c>
      <c r="J10" s="96">
        <v>0</v>
      </c>
      <c r="K10" s="96">
        <v>124</v>
      </c>
      <c r="L10" s="96">
        <v>255</v>
      </c>
      <c r="M10" s="96">
        <v>0</v>
      </c>
      <c r="N10" s="96">
        <v>0</v>
      </c>
      <c r="O10" s="96">
        <v>0</v>
      </c>
      <c r="P10" s="95">
        <v>255</v>
      </c>
      <c r="Q10" s="95">
        <v>255</v>
      </c>
      <c r="R10" s="95">
        <v>255</v>
      </c>
      <c r="S10" s="95">
        <v>255</v>
      </c>
      <c r="T10" s="95">
        <v>0</v>
      </c>
      <c r="U10" s="95">
        <v>0</v>
      </c>
      <c r="V10" s="95">
        <v>0</v>
      </c>
      <c r="W10" s="95">
        <v>0</v>
      </c>
      <c r="X10" s="95">
        <v>0</v>
      </c>
      <c r="Y10" s="95">
        <v>0</v>
      </c>
      <c r="Z10" s="95">
        <v>0</v>
      </c>
      <c r="AA10" s="95">
        <v>0</v>
      </c>
      <c r="AB10" s="95">
        <v>0</v>
      </c>
      <c r="AD10" s="96">
        <f t="shared" si="1"/>
        <v>0</v>
      </c>
      <c r="AE10" s="96">
        <f t="shared" si="2"/>
        <v>0</v>
      </c>
      <c r="AF10" s="96">
        <f t="shared" si="3"/>
        <v>0</v>
      </c>
      <c r="AG10" s="96">
        <f t="shared" si="4"/>
        <v>0</v>
      </c>
      <c r="AH10" s="96">
        <f t="shared" si="5"/>
        <v>0</v>
      </c>
      <c r="AI10" s="96">
        <f t="shared" si="6"/>
        <v>0</v>
      </c>
      <c r="AJ10" s="96">
        <f t="shared" si="7"/>
        <v>0</v>
      </c>
      <c r="AK10" s="96">
        <f t="shared" si="8"/>
        <v>0</v>
      </c>
      <c r="AL10" s="96">
        <f t="shared" si="9"/>
        <v>0</v>
      </c>
      <c r="AM10" s="96">
        <f t="shared" si="10"/>
        <v>0.48627450980392156</v>
      </c>
      <c r="AN10" s="96">
        <f t="shared" si="11"/>
        <v>1</v>
      </c>
      <c r="AO10" s="96">
        <f t="shared" si="12"/>
        <v>0</v>
      </c>
      <c r="AP10" s="96">
        <f t="shared" si="13"/>
        <v>0</v>
      </c>
      <c r="AQ10" s="96">
        <f t="shared" si="14"/>
        <v>0</v>
      </c>
      <c r="AR10" s="96">
        <f t="shared" si="15"/>
        <v>1</v>
      </c>
      <c r="AS10" s="96">
        <f t="shared" si="16"/>
        <v>1</v>
      </c>
      <c r="AT10" s="96">
        <f t="shared" si="17"/>
        <v>1</v>
      </c>
      <c r="AU10" s="96">
        <f t="shared" si="18"/>
        <v>1</v>
      </c>
      <c r="AV10" s="96">
        <f t="shared" si="19"/>
        <v>0</v>
      </c>
      <c r="AW10" s="96">
        <f t="shared" si="20"/>
        <v>0</v>
      </c>
      <c r="AX10" s="96">
        <f t="shared" si="21"/>
        <v>0</v>
      </c>
      <c r="AY10" s="96">
        <f t="shared" si="22"/>
        <v>0</v>
      </c>
      <c r="AZ10" s="96">
        <f t="shared" si="23"/>
        <v>0</v>
      </c>
      <c r="BA10" s="96">
        <f t="shared" si="24"/>
        <v>0</v>
      </c>
      <c r="BB10" s="96">
        <f t="shared" si="25"/>
        <v>0</v>
      </c>
      <c r="BC10" s="96">
        <f t="shared" si="26"/>
        <v>0</v>
      </c>
      <c r="BD10" s="96">
        <f t="shared" si="27"/>
        <v>0</v>
      </c>
      <c r="BE10" s="96">
        <f t="shared" si="28"/>
        <v>0</v>
      </c>
    </row>
    <row r="11" spans="1:57" ht="19.5" customHeight="1" thickBot="1">
      <c r="A11" s="96">
        <v>0</v>
      </c>
      <c r="B11" s="96">
        <v>0</v>
      </c>
      <c r="C11" s="96">
        <v>0</v>
      </c>
      <c r="D11" s="96">
        <v>0</v>
      </c>
      <c r="E11" s="96">
        <v>0</v>
      </c>
      <c r="F11" s="96">
        <v>0</v>
      </c>
      <c r="G11" s="96">
        <v>0</v>
      </c>
      <c r="H11" s="96">
        <v>0</v>
      </c>
      <c r="I11" s="96">
        <v>0</v>
      </c>
      <c r="J11" s="96">
        <v>0</v>
      </c>
      <c r="K11" s="96">
        <v>124</v>
      </c>
      <c r="L11" s="96">
        <v>255</v>
      </c>
      <c r="M11" s="96">
        <v>0</v>
      </c>
      <c r="N11" s="96">
        <v>0</v>
      </c>
      <c r="O11" s="96">
        <v>255</v>
      </c>
      <c r="P11" s="200">
        <v>124</v>
      </c>
      <c r="Q11" s="95">
        <v>255</v>
      </c>
      <c r="R11" s="95">
        <v>255</v>
      </c>
      <c r="S11" s="95">
        <v>124</v>
      </c>
      <c r="T11" s="95">
        <v>255</v>
      </c>
      <c r="U11" s="95">
        <v>0</v>
      </c>
      <c r="V11" s="95">
        <v>0</v>
      </c>
      <c r="W11" s="95">
        <v>0</v>
      </c>
      <c r="X11" s="95">
        <v>0</v>
      </c>
      <c r="Y11" s="95">
        <v>0</v>
      </c>
      <c r="Z11" s="95">
        <v>0</v>
      </c>
      <c r="AA11" s="95">
        <v>0</v>
      </c>
      <c r="AB11" s="95">
        <v>0</v>
      </c>
      <c r="AD11" s="96">
        <f t="shared" si="1"/>
        <v>0</v>
      </c>
      <c r="AE11" s="96">
        <f t="shared" si="2"/>
        <v>0</v>
      </c>
      <c r="AF11" s="96">
        <f t="shared" si="3"/>
        <v>0</v>
      </c>
      <c r="AG11" s="96">
        <f t="shared" si="4"/>
        <v>0</v>
      </c>
      <c r="AH11" s="96">
        <f t="shared" si="5"/>
        <v>0</v>
      </c>
      <c r="AI11" s="96">
        <f t="shared" si="6"/>
        <v>0</v>
      </c>
      <c r="AJ11" s="96">
        <f t="shared" si="7"/>
        <v>0</v>
      </c>
      <c r="AK11" s="96">
        <f t="shared" si="8"/>
        <v>0</v>
      </c>
      <c r="AL11" s="96">
        <f t="shared" si="9"/>
        <v>0</v>
      </c>
      <c r="AM11" s="96">
        <f t="shared" si="10"/>
        <v>0.48627450980392156</v>
      </c>
      <c r="AN11" s="96">
        <f t="shared" si="11"/>
        <v>1</v>
      </c>
      <c r="AO11" s="96">
        <f t="shared" si="12"/>
        <v>0</v>
      </c>
      <c r="AP11" s="96">
        <f t="shared" si="13"/>
        <v>0</v>
      </c>
      <c r="AQ11" s="96">
        <f t="shared" si="14"/>
        <v>1</v>
      </c>
      <c r="AR11" s="96">
        <f t="shared" si="15"/>
        <v>0.48627450980392156</v>
      </c>
      <c r="AS11" s="96">
        <f t="shared" si="16"/>
        <v>1</v>
      </c>
      <c r="AT11" s="96">
        <f t="shared" si="17"/>
        <v>1</v>
      </c>
      <c r="AU11" s="96">
        <f t="shared" si="18"/>
        <v>0.48627450980392156</v>
      </c>
      <c r="AV11" s="96">
        <f t="shared" si="19"/>
        <v>1</v>
      </c>
      <c r="AW11" s="96">
        <f t="shared" si="20"/>
        <v>0</v>
      </c>
      <c r="AX11" s="96">
        <f t="shared" si="21"/>
        <v>0</v>
      </c>
      <c r="AY11" s="96">
        <f t="shared" si="22"/>
        <v>0</v>
      </c>
      <c r="AZ11" s="96">
        <f t="shared" si="23"/>
        <v>0</v>
      </c>
      <c r="BA11" s="96">
        <f t="shared" si="24"/>
        <v>0</v>
      </c>
      <c r="BB11" s="96">
        <f t="shared" si="25"/>
        <v>0</v>
      </c>
      <c r="BC11" s="96">
        <f t="shared" si="26"/>
        <v>0</v>
      </c>
      <c r="BD11" s="96">
        <f t="shared" si="27"/>
        <v>0</v>
      </c>
      <c r="BE11" s="96">
        <f t="shared" si="28"/>
        <v>0</v>
      </c>
    </row>
    <row r="12" spans="1:57" ht="19.5" customHeight="1" thickBot="1">
      <c r="A12" s="96">
        <v>0</v>
      </c>
      <c r="B12" s="96">
        <v>0</v>
      </c>
      <c r="C12" s="96">
        <v>0</v>
      </c>
      <c r="D12" s="96">
        <v>0</v>
      </c>
      <c r="E12" s="96">
        <v>0</v>
      </c>
      <c r="F12" s="96">
        <v>0</v>
      </c>
      <c r="G12" s="96">
        <v>0</v>
      </c>
      <c r="H12" s="96">
        <v>0</v>
      </c>
      <c r="I12" s="96">
        <v>0</v>
      </c>
      <c r="J12" s="96">
        <v>0</v>
      </c>
      <c r="K12" s="96">
        <v>255</v>
      </c>
      <c r="L12" s="96">
        <v>124</v>
      </c>
      <c r="M12" s="96">
        <v>255</v>
      </c>
      <c r="N12" s="96">
        <v>255</v>
      </c>
      <c r="O12" s="96">
        <v>255</v>
      </c>
      <c r="P12" s="95">
        <v>0</v>
      </c>
      <c r="Q12" s="95">
        <v>0</v>
      </c>
      <c r="R12" s="95">
        <v>255</v>
      </c>
      <c r="S12" s="95">
        <v>255</v>
      </c>
      <c r="T12" s="95">
        <v>255</v>
      </c>
      <c r="U12" s="95">
        <v>0</v>
      </c>
      <c r="V12" s="95">
        <v>0</v>
      </c>
      <c r="W12" s="95">
        <v>0</v>
      </c>
      <c r="X12" s="95">
        <v>0</v>
      </c>
      <c r="Y12" s="95">
        <v>0</v>
      </c>
      <c r="Z12" s="95">
        <v>0</v>
      </c>
      <c r="AA12" s="95">
        <v>0</v>
      </c>
      <c r="AB12" s="95">
        <v>0</v>
      </c>
      <c r="AD12" s="96">
        <f t="shared" si="1"/>
        <v>0</v>
      </c>
      <c r="AE12" s="96">
        <f t="shared" si="2"/>
        <v>0</v>
      </c>
      <c r="AF12" s="96">
        <f t="shared" si="3"/>
        <v>0</v>
      </c>
      <c r="AG12" s="96">
        <f t="shared" si="4"/>
        <v>0</v>
      </c>
      <c r="AH12" s="96">
        <f t="shared" si="5"/>
        <v>0</v>
      </c>
      <c r="AI12" s="96">
        <f t="shared" si="6"/>
        <v>0</v>
      </c>
      <c r="AJ12" s="96">
        <f t="shared" si="7"/>
        <v>0</v>
      </c>
      <c r="AK12" s="96">
        <f t="shared" si="8"/>
        <v>0</v>
      </c>
      <c r="AL12" s="96">
        <f t="shared" si="9"/>
        <v>0</v>
      </c>
      <c r="AM12" s="96">
        <f t="shared" si="10"/>
        <v>1</v>
      </c>
      <c r="AN12" s="96">
        <f t="shared" si="11"/>
        <v>0.48627450980392156</v>
      </c>
      <c r="AO12" s="96">
        <f t="shared" si="12"/>
        <v>1</v>
      </c>
      <c r="AP12" s="96">
        <f t="shared" si="13"/>
        <v>1</v>
      </c>
      <c r="AQ12" s="96">
        <f t="shared" si="14"/>
        <v>1</v>
      </c>
      <c r="AR12" s="96">
        <f t="shared" si="15"/>
        <v>0</v>
      </c>
      <c r="AS12" s="96">
        <f t="shared" si="16"/>
        <v>0</v>
      </c>
      <c r="AT12" s="96">
        <f t="shared" si="17"/>
        <v>1</v>
      </c>
      <c r="AU12" s="96">
        <f t="shared" si="18"/>
        <v>1</v>
      </c>
      <c r="AV12" s="96">
        <f t="shared" si="19"/>
        <v>1</v>
      </c>
      <c r="AW12" s="96">
        <f t="shared" si="20"/>
        <v>0</v>
      </c>
      <c r="AX12" s="96">
        <f t="shared" si="21"/>
        <v>0</v>
      </c>
      <c r="AY12" s="96">
        <f t="shared" si="22"/>
        <v>0</v>
      </c>
      <c r="AZ12" s="96">
        <f t="shared" si="23"/>
        <v>0</v>
      </c>
      <c r="BA12" s="96">
        <f t="shared" si="24"/>
        <v>0</v>
      </c>
      <c r="BB12" s="96">
        <f t="shared" si="25"/>
        <v>0</v>
      </c>
      <c r="BC12" s="96">
        <f t="shared" si="26"/>
        <v>0</v>
      </c>
      <c r="BD12" s="96">
        <f t="shared" si="27"/>
        <v>0</v>
      </c>
      <c r="BE12" s="96">
        <f t="shared" si="28"/>
        <v>0</v>
      </c>
    </row>
    <row r="13" spans="1:57" ht="19.5" customHeight="1" thickBot="1">
      <c r="A13" s="96">
        <v>0</v>
      </c>
      <c r="B13" s="96">
        <v>0</v>
      </c>
      <c r="C13" s="96">
        <v>0</v>
      </c>
      <c r="D13" s="96">
        <v>0</v>
      </c>
      <c r="E13" s="96">
        <v>0</v>
      </c>
      <c r="F13" s="96">
        <v>0</v>
      </c>
      <c r="G13" s="96">
        <v>0</v>
      </c>
      <c r="H13" s="96">
        <v>0</v>
      </c>
      <c r="I13" s="96">
        <v>0</v>
      </c>
      <c r="J13" s="96">
        <v>0</v>
      </c>
      <c r="K13" s="96">
        <v>255</v>
      </c>
      <c r="L13" s="96">
        <v>255</v>
      </c>
      <c r="M13" s="96">
        <v>255</v>
      </c>
      <c r="N13" s="96">
        <v>255</v>
      </c>
      <c r="O13" s="96">
        <v>0</v>
      </c>
      <c r="P13" s="95">
        <v>0</v>
      </c>
      <c r="Q13" s="95">
        <v>0</v>
      </c>
      <c r="R13" s="95">
        <v>255</v>
      </c>
      <c r="S13" s="95">
        <v>124</v>
      </c>
      <c r="T13" s="95">
        <v>255</v>
      </c>
      <c r="U13" s="95">
        <v>255</v>
      </c>
      <c r="V13" s="95">
        <v>0</v>
      </c>
      <c r="W13" s="95">
        <v>0</v>
      </c>
      <c r="X13" s="95">
        <v>0</v>
      </c>
      <c r="Y13" s="95">
        <v>0</v>
      </c>
      <c r="Z13" s="95">
        <v>0</v>
      </c>
      <c r="AA13" s="95">
        <v>0</v>
      </c>
      <c r="AB13" s="95">
        <v>0</v>
      </c>
      <c r="AD13" s="96">
        <f t="shared" si="1"/>
        <v>0</v>
      </c>
      <c r="AE13" s="96">
        <f t="shared" si="2"/>
        <v>0</v>
      </c>
      <c r="AF13" s="96">
        <f t="shared" si="3"/>
        <v>0</v>
      </c>
      <c r="AG13" s="96">
        <f t="shared" si="4"/>
        <v>0</v>
      </c>
      <c r="AH13" s="96">
        <f t="shared" si="5"/>
        <v>0</v>
      </c>
      <c r="AI13" s="96">
        <f t="shared" si="6"/>
        <v>0</v>
      </c>
      <c r="AJ13" s="96">
        <f t="shared" si="7"/>
        <v>0</v>
      </c>
      <c r="AK13" s="96">
        <f t="shared" si="8"/>
        <v>0</v>
      </c>
      <c r="AL13" s="96">
        <f t="shared" si="9"/>
        <v>0</v>
      </c>
      <c r="AM13" s="96">
        <f t="shared" si="10"/>
        <v>1</v>
      </c>
      <c r="AN13" s="96">
        <f t="shared" si="11"/>
        <v>1</v>
      </c>
      <c r="AO13" s="96">
        <f t="shared" si="12"/>
        <v>1</v>
      </c>
      <c r="AP13" s="96">
        <f t="shared" si="13"/>
        <v>1</v>
      </c>
      <c r="AQ13" s="96">
        <f t="shared" si="14"/>
        <v>0</v>
      </c>
      <c r="AR13" s="96">
        <f t="shared" si="15"/>
        <v>0</v>
      </c>
      <c r="AS13" s="96">
        <f t="shared" si="16"/>
        <v>0</v>
      </c>
      <c r="AT13" s="96">
        <f t="shared" si="17"/>
        <v>1</v>
      </c>
      <c r="AU13" s="96">
        <f t="shared" si="18"/>
        <v>0.48627450980392156</v>
      </c>
      <c r="AV13" s="96">
        <f t="shared" si="19"/>
        <v>1</v>
      </c>
      <c r="AW13" s="96">
        <f t="shared" si="20"/>
        <v>1</v>
      </c>
      <c r="AX13" s="96">
        <f t="shared" si="21"/>
        <v>0</v>
      </c>
      <c r="AY13" s="96">
        <f t="shared" si="22"/>
        <v>0</v>
      </c>
      <c r="AZ13" s="96">
        <f t="shared" si="23"/>
        <v>0</v>
      </c>
      <c r="BA13" s="96">
        <f t="shared" si="24"/>
        <v>0</v>
      </c>
      <c r="BB13" s="96">
        <f t="shared" si="25"/>
        <v>0</v>
      </c>
      <c r="BC13" s="96">
        <f t="shared" si="26"/>
        <v>0</v>
      </c>
      <c r="BD13" s="96">
        <f t="shared" si="27"/>
        <v>0</v>
      </c>
      <c r="BE13" s="96">
        <f t="shared" si="28"/>
        <v>0</v>
      </c>
    </row>
    <row r="14" spans="1:57" ht="19.5" customHeight="1" thickBot="1">
      <c r="A14" s="96">
        <v>0</v>
      </c>
      <c r="B14" s="96">
        <v>0</v>
      </c>
      <c r="C14" s="96">
        <v>0</v>
      </c>
      <c r="D14" s="96">
        <v>0</v>
      </c>
      <c r="E14" s="96">
        <v>0</v>
      </c>
      <c r="F14" s="96">
        <v>0</v>
      </c>
      <c r="G14" s="96">
        <v>0</v>
      </c>
      <c r="H14" s="96">
        <v>0</v>
      </c>
      <c r="I14" s="96">
        <v>0</v>
      </c>
      <c r="J14" s="96">
        <v>0</v>
      </c>
      <c r="K14" s="96">
        <v>0</v>
      </c>
      <c r="L14" s="96">
        <v>0</v>
      </c>
      <c r="M14" s="96">
        <v>0</v>
      </c>
      <c r="N14" s="96">
        <v>0</v>
      </c>
      <c r="O14" s="96">
        <v>0</v>
      </c>
      <c r="P14" s="95">
        <v>0</v>
      </c>
      <c r="Q14" s="95">
        <v>0</v>
      </c>
      <c r="R14" s="95">
        <v>0</v>
      </c>
      <c r="S14" s="95">
        <v>255</v>
      </c>
      <c r="T14" s="95">
        <v>255</v>
      </c>
      <c r="U14" s="95">
        <v>124</v>
      </c>
      <c r="V14" s="95">
        <v>0</v>
      </c>
      <c r="W14" s="95">
        <v>0</v>
      </c>
      <c r="X14" s="95">
        <v>0</v>
      </c>
      <c r="Y14" s="95">
        <v>0</v>
      </c>
      <c r="Z14" s="95">
        <v>0</v>
      </c>
      <c r="AA14" s="95">
        <v>0</v>
      </c>
      <c r="AB14" s="95">
        <v>0</v>
      </c>
      <c r="AD14" s="96">
        <f t="shared" si="1"/>
        <v>0</v>
      </c>
      <c r="AE14" s="96">
        <f t="shared" si="2"/>
        <v>0</v>
      </c>
      <c r="AF14" s="96">
        <f t="shared" si="3"/>
        <v>0</v>
      </c>
      <c r="AG14" s="96">
        <f t="shared" si="4"/>
        <v>0</v>
      </c>
      <c r="AH14" s="96">
        <f t="shared" si="5"/>
        <v>0</v>
      </c>
      <c r="AI14" s="96">
        <f t="shared" si="6"/>
        <v>0</v>
      </c>
      <c r="AJ14" s="96">
        <f t="shared" si="7"/>
        <v>0</v>
      </c>
      <c r="AK14" s="96">
        <f t="shared" si="8"/>
        <v>0</v>
      </c>
      <c r="AL14" s="96">
        <f t="shared" si="9"/>
        <v>0</v>
      </c>
      <c r="AM14" s="96">
        <f t="shared" si="10"/>
        <v>0</v>
      </c>
      <c r="AN14" s="96">
        <f t="shared" si="11"/>
        <v>0</v>
      </c>
      <c r="AO14" s="96">
        <f t="shared" si="12"/>
        <v>0</v>
      </c>
      <c r="AP14" s="96">
        <f t="shared" si="13"/>
        <v>0</v>
      </c>
      <c r="AQ14" s="96">
        <f t="shared" si="14"/>
        <v>0</v>
      </c>
      <c r="AR14" s="96">
        <f t="shared" si="15"/>
        <v>0</v>
      </c>
      <c r="AS14" s="96">
        <f t="shared" si="16"/>
        <v>0</v>
      </c>
      <c r="AT14" s="96">
        <f t="shared" si="17"/>
        <v>0</v>
      </c>
      <c r="AU14" s="96">
        <f t="shared" si="18"/>
        <v>1</v>
      </c>
      <c r="AV14" s="96">
        <f t="shared" si="19"/>
        <v>1</v>
      </c>
      <c r="AW14" s="96">
        <f t="shared" si="20"/>
        <v>0.48627450980392156</v>
      </c>
      <c r="AX14" s="96">
        <f t="shared" si="21"/>
        <v>0</v>
      </c>
      <c r="AY14" s="96">
        <f t="shared" si="22"/>
        <v>0</v>
      </c>
      <c r="AZ14" s="96">
        <f t="shared" si="23"/>
        <v>0</v>
      </c>
      <c r="BA14" s="96">
        <f t="shared" si="24"/>
        <v>0</v>
      </c>
      <c r="BB14" s="96">
        <f t="shared" si="25"/>
        <v>0</v>
      </c>
      <c r="BC14" s="96">
        <f t="shared" si="26"/>
        <v>0</v>
      </c>
      <c r="BD14" s="96">
        <f t="shared" si="27"/>
        <v>0</v>
      </c>
      <c r="BE14" s="96">
        <f t="shared" si="28"/>
        <v>0</v>
      </c>
    </row>
    <row r="15" spans="1:57" ht="19.5" customHeight="1" thickBot="1">
      <c r="A15" s="96">
        <v>0</v>
      </c>
      <c r="B15" s="96">
        <v>0</v>
      </c>
      <c r="C15" s="96">
        <v>0</v>
      </c>
      <c r="D15" s="96">
        <v>0</v>
      </c>
      <c r="E15" s="96">
        <v>0</v>
      </c>
      <c r="F15" s="96">
        <v>0</v>
      </c>
      <c r="G15" s="96">
        <v>0</v>
      </c>
      <c r="H15" s="96">
        <v>0</v>
      </c>
      <c r="I15" s="96">
        <v>0</v>
      </c>
      <c r="J15" s="96">
        <v>0</v>
      </c>
      <c r="K15" s="96">
        <v>0</v>
      </c>
      <c r="L15" s="96">
        <v>0</v>
      </c>
      <c r="M15" s="96">
        <v>0</v>
      </c>
      <c r="N15" s="96">
        <v>0</v>
      </c>
      <c r="O15" s="96">
        <v>0</v>
      </c>
      <c r="P15" s="95">
        <v>0</v>
      </c>
      <c r="Q15" s="95">
        <v>0</v>
      </c>
      <c r="R15" s="95">
        <v>0</v>
      </c>
      <c r="S15" s="95">
        <v>255</v>
      </c>
      <c r="T15" s="95">
        <v>124</v>
      </c>
      <c r="U15" s="95">
        <v>255</v>
      </c>
      <c r="V15" s="95">
        <v>0</v>
      </c>
      <c r="W15" s="95">
        <v>0</v>
      </c>
      <c r="X15" s="95">
        <v>0</v>
      </c>
      <c r="Y15" s="95">
        <v>0</v>
      </c>
      <c r="Z15" s="95">
        <v>0</v>
      </c>
      <c r="AA15" s="95">
        <v>0</v>
      </c>
      <c r="AB15" s="95">
        <v>0</v>
      </c>
      <c r="AD15" s="96">
        <f t="shared" si="1"/>
        <v>0</v>
      </c>
      <c r="AE15" s="96">
        <f t="shared" si="2"/>
        <v>0</v>
      </c>
      <c r="AF15" s="96">
        <f t="shared" si="3"/>
        <v>0</v>
      </c>
      <c r="AG15" s="96">
        <f t="shared" si="4"/>
        <v>0</v>
      </c>
      <c r="AH15" s="96">
        <f t="shared" si="5"/>
        <v>0</v>
      </c>
      <c r="AI15" s="96">
        <f t="shared" si="6"/>
        <v>0</v>
      </c>
      <c r="AJ15" s="96">
        <f t="shared" si="7"/>
        <v>0</v>
      </c>
      <c r="AK15" s="96">
        <f t="shared" si="8"/>
        <v>0</v>
      </c>
      <c r="AL15" s="96">
        <f t="shared" si="9"/>
        <v>0</v>
      </c>
      <c r="AM15" s="96">
        <f t="shared" si="10"/>
        <v>0</v>
      </c>
      <c r="AN15" s="96">
        <f t="shared" si="11"/>
        <v>0</v>
      </c>
      <c r="AO15" s="96">
        <f t="shared" si="12"/>
        <v>0</v>
      </c>
      <c r="AP15" s="96">
        <f t="shared" si="13"/>
        <v>0</v>
      </c>
      <c r="AQ15" s="96">
        <f t="shared" si="14"/>
        <v>0</v>
      </c>
      <c r="AR15" s="96">
        <f t="shared" si="15"/>
        <v>0</v>
      </c>
      <c r="AS15" s="96">
        <f t="shared" si="16"/>
        <v>0</v>
      </c>
      <c r="AT15" s="96">
        <f t="shared" si="17"/>
        <v>0</v>
      </c>
      <c r="AU15" s="96">
        <f t="shared" si="18"/>
        <v>1</v>
      </c>
      <c r="AV15" s="96">
        <f t="shared" si="19"/>
        <v>0.48627450980392156</v>
      </c>
      <c r="AW15" s="96">
        <f t="shared" si="20"/>
        <v>1</v>
      </c>
      <c r="AX15" s="96">
        <f t="shared" si="21"/>
        <v>0</v>
      </c>
      <c r="AY15" s="96">
        <f t="shared" si="22"/>
        <v>0</v>
      </c>
      <c r="AZ15" s="96">
        <f t="shared" si="23"/>
        <v>0</v>
      </c>
      <c r="BA15" s="96">
        <f t="shared" si="24"/>
        <v>0</v>
      </c>
      <c r="BB15" s="96">
        <f t="shared" si="25"/>
        <v>0</v>
      </c>
      <c r="BC15" s="96">
        <f t="shared" si="26"/>
        <v>0</v>
      </c>
      <c r="BD15" s="96">
        <f t="shared" si="27"/>
        <v>0</v>
      </c>
      <c r="BE15" s="96">
        <f t="shared" si="28"/>
        <v>0</v>
      </c>
    </row>
    <row r="16" spans="1:57" ht="19.5" customHeight="1" thickBot="1">
      <c r="A16" s="96">
        <v>0</v>
      </c>
      <c r="B16" s="96">
        <v>0</v>
      </c>
      <c r="C16" s="96">
        <v>0</v>
      </c>
      <c r="D16" s="96">
        <v>0</v>
      </c>
      <c r="E16" s="96">
        <v>0</v>
      </c>
      <c r="F16" s="96">
        <v>0</v>
      </c>
      <c r="G16" s="96">
        <v>0</v>
      </c>
      <c r="H16" s="96">
        <v>0</v>
      </c>
      <c r="I16" s="96">
        <v>0</v>
      </c>
      <c r="J16" s="96">
        <v>0</v>
      </c>
      <c r="K16" s="96">
        <v>0</v>
      </c>
      <c r="L16" s="96">
        <v>0</v>
      </c>
      <c r="M16" s="96">
        <v>0</v>
      </c>
      <c r="N16" s="96">
        <v>0</v>
      </c>
      <c r="O16" s="96">
        <v>0</v>
      </c>
      <c r="P16" s="95">
        <v>0</v>
      </c>
      <c r="Q16" s="95">
        <v>0</v>
      </c>
      <c r="R16" s="95">
        <v>0</v>
      </c>
      <c r="S16" s="95">
        <v>255</v>
      </c>
      <c r="T16" s="95">
        <v>255</v>
      </c>
      <c r="U16" s="95">
        <v>255</v>
      </c>
      <c r="V16" s="95">
        <v>0</v>
      </c>
      <c r="W16" s="95">
        <v>0</v>
      </c>
      <c r="X16" s="95">
        <v>0</v>
      </c>
      <c r="Y16" s="95">
        <v>0</v>
      </c>
      <c r="Z16" s="95">
        <v>0</v>
      </c>
      <c r="AA16" s="95">
        <v>0</v>
      </c>
      <c r="AB16" s="95">
        <v>0</v>
      </c>
      <c r="AD16" s="96">
        <f t="shared" si="1"/>
        <v>0</v>
      </c>
      <c r="AE16" s="96">
        <f t="shared" si="2"/>
        <v>0</v>
      </c>
      <c r="AF16" s="96">
        <f t="shared" si="3"/>
        <v>0</v>
      </c>
      <c r="AG16" s="96">
        <f t="shared" si="4"/>
        <v>0</v>
      </c>
      <c r="AH16" s="96">
        <f t="shared" si="5"/>
        <v>0</v>
      </c>
      <c r="AI16" s="96">
        <f t="shared" si="6"/>
        <v>0</v>
      </c>
      <c r="AJ16" s="96">
        <f t="shared" si="7"/>
        <v>0</v>
      </c>
      <c r="AK16" s="96">
        <f t="shared" si="8"/>
        <v>0</v>
      </c>
      <c r="AL16" s="96">
        <f t="shared" si="9"/>
        <v>0</v>
      </c>
      <c r="AM16" s="96">
        <f t="shared" si="10"/>
        <v>0</v>
      </c>
      <c r="AN16" s="96">
        <f t="shared" si="11"/>
        <v>0</v>
      </c>
      <c r="AO16" s="96">
        <f t="shared" si="12"/>
        <v>0</v>
      </c>
      <c r="AP16" s="96">
        <f t="shared" si="13"/>
        <v>0</v>
      </c>
      <c r="AQ16" s="96">
        <f t="shared" si="14"/>
        <v>0</v>
      </c>
      <c r="AR16" s="96">
        <f t="shared" si="15"/>
        <v>0</v>
      </c>
      <c r="AS16" s="96">
        <f t="shared" si="16"/>
        <v>0</v>
      </c>
      <c r="AT16" s="96">
        <f t="shared" si="17"/>
        <v>0</v>
      </c>
      <c r="AU16" s="96">
        <f t="shared" si="18"/>
        <v>1</v>
      </c>
      <c r="AV16" s="96">
        <f t="shared" si="19"/>
        <v>1</v>
      </c>
      <c r="AW16" s="96">
        <f t="shared" si="20"/>
        <v>1</v>
      </c>
      <c r="AX16" s="96">
        <f t="shared" si="21"/>
        <v>0</v>
      </c>
      <c r="AY16" s="96">
        <f t="shared" si="22"/>
        <v>0</v>
      </c>
      <c r="AZ16" s="96">
        <f t="shared" si="23"/>
        <v>0</v>
      </c>
      <c r="BA16" s="96">
        <f t="shared" si="24"/>
        <v>0</v>
      </c>
      <c r="BB16" s="96">
        <f t="shared" si="25"/>
        <v>0</v>
      </c>
      <c r="BC16" s="96">
        <f t="shared" si="26"/>
        <v>0</v>
      </c>
      <c r="BD16" s="96">
        <f t="shared" si="27"/>
        <v>0</v>
      </c>
      <c r="BE16" s="96">
        <f t="shared" si="28"/>
        <v>0</v>
      </c>
    </row>
    <row r="17" spans="1:57" ht="19.5" customHeight="1" thickBot="1">
      <c r="A17" s="96">
        <v>0</v>
      </c>
      <c r="B17" s="96">
        <v>0</v>
      </c>
      <c r="C17" s="96">
        <v>0</v>
      </c>
      <c r="D17" s="96">
        <v>0</v>
      </c>
      <c r="E17" s="96">
        <v>0</v>
      </c>
      <c r="F17" s="96">
        <v>0</v>
      </c>
      <c r="G17" s="96">
        <v>0</v>
      </c>
      <c r="H17" s="96">
        <v>0</v>
      </c>
      <c r="I17" s="96">
        <v>0</v>
      </c>
      <c r="J17" s="96">
        <v>0</v>
      </c>
      <c r="K17" s="96">
        <v>0</v>
      </c>
      <c r="L17" s="96">
        <v>0</v>
      </c>
      <c r="M17" s="96">
        <v>0</v>
      </c>
      <c r="N17" s="96">
        <v>0</v>
      </c>
      <c r="O17" s="96">
        <v>0</v>
      </c>
      <c r="P17" s="95">
        <v>0</v>
      </c>
      <c r="Q17" s="95">
        <v>0</v>
      </c>
      <c r="R17" s="95">
        <v>255</v>
      </c>
      <c r="S17" s="95">
        <v>255</v>
      </c>
      <c r="T17" s="95">
        <v>124</v>
      </c>
      <c r="U17" s="95">
        <v>255</v>
      </c>
      <c r="V17" s="95">
        <v>0</v>
      </c>
      <c r="W17" s="95">
        <v>0</v>
      </c>
      <c r="X17" s="95">
        <v>0</v>
      </c>
      <c r="Y17" s="95">
        <v>0</v>
      </c>
      <c r="Z17" s="95">
        <v>0</v>
      </c>
      <c r="AA17" s="95">
        <v>0</v>
      </c>
      <c r="AB17" s="95">
        <v>0</v>
      </c>
      <c r="AD17" s="96">
        <f t="shared" si="1"/>
        <v>0</v>
      </c>
      <c r="AE17" s="96">
        <f t="shared" si="2"/>
        <v>0</v>
      </c>
      <c r="AF17" s="96">
        <f t="shared" si="3"/>
        <v>0</v>
      </c>
      <c r="AG17" s="96">
        <f t="shared" si="4"/>
        <v>0</v>
      </c>
      <c r="AH17" s="96">
        <f t="shared" si="5"/>
        <v>0</v>
      </c>
      <c r="AI17" s="96">
        <f t="shared" si="6"/>
        <v>0</v>
      </c>
      <c r="AJ17" s="96">
        <f t="shared" si="7"/>
        <v>0</v>
      </c>
      <c r="AK17" s="96">
        <f t="shared" si="8"/>
        <v>0</v>
      </c>
      <c r="AL17" s="96">
        <f t="shared" si="9"/>
        <v>0</v>
      </c>
      <c r="AM17" s="96">
        <f t="shared" si="10"/>
        <v>0</v>
      </c>
      <c r="AN17" s="96">
        <f t="shared" si="11"/>
        <v>0</v>
      </c>
      <c r="AO17" s="96">
        <f t="shared" si="12"/>
        <v>0</v>
      </c>
      <c r="AP17" s="96">
        <f t="shared" si="13"/>
        <v>0</v>
      </c>
      <c r="AQ17" s="96">
        <f t="shared" si="14"/>
        <v>0</v>
      </c>
      <c r="AR17" s="96">
        <f t="shared" si="15"/>
        <v>0</v>
      </c>
      <c r="AS17" s="96">
        <f t="shared" si="16"/>
        <v>0</v>
      </c>
      <c r="AT17" s="96">
        <f t="shared" si="17"/>
        <v>1</v>
      </c>
      <c r="AU17" s="96">
        <f t="shared" si="18"/>
        <v>1</v>
      </c>
      <c r="AV17" s="96">
        <f t="shared" si="19"/>
        <v>0.48627450980392156</v>
      </c>
      <c r="AW17" s="96">
        <f t="shared" si="20"/>
        <v>1</v>
      </c>
      <c r="AX17" s="96">
        <f t="shared" si="21"/>
        <v>0</v>
      </c>
      <c r="AY17" s="96">
        <f t="shared" si="22"/>
        <v>0</v>
      </c>
      <c r="AZ17" s="96">
        <f t="shared" si="23"/>
        <v>0</v>
      </c>
      <c r="BA17" s="96">
        <f t="shared" si="24"/>
        <v>0</v>
      </c>
      <c r="BB17" s="96">
        <f t="shared" si="25"/>
        <v>0</v>
      </c>
      <c r="BC17" s="96">
        <f t="shared" si="26"/>
        <v>0</v>
      </c>
      <c r="BD17" s="96">
        <f t="shared" si="27"/>
        <v>0</v>
      </c>
      <c r="BE17" s="96">
        <f t="shared" si="28"/>
        <v>0</v>
      </c>
    </row>
    <row r="18" spans="1:57" ht="19.5" customHeight="1" thickBot="1">
      <c r="A18" s="96">
        <v>0</v>
      </c>
      <c r="B18" s="96">
        <v>0</v>
      </c>
      <c r="C18" s="96">
        <v>0</v>
      </c>
      <c r="D18" s="96">
        <v>0</v>
      </c>
      <c r="E18" s="96">
        <v>0</v>
      </c>
      <c r="F18" s="96">
        <v>0</v>
      </c>
      <c r="G18" s="96">
        <v>0</v>
      </c>
      <c r="H18" s="96">
        <v>0</v>
      </c>
      <c r="I18" s="96">
        <v>0</v>
      </c>
      <c r="J18" s="96">
        <v>0</v>
      </c>
      <c r="K18" s="96">
        <v>0</v>
      </c>
      <c r="L18" s="96">
        <v>0</v>
      </c>
      <c r="M18" s="96">
        <v>0</v>
      </c>
      <c r="N18" s="96">
        <v>0</v>
      </c>
      <c r="O18" s="96">
        <v>0</v>
      </c>
      <c r="P18" s="95">
        <v>255</v>
      </c>
      <c r="Q18" s="95">
        <v>0</v>
      </c>
      <c r="R18" s="95">
        <v>255</v>
      </c>
      <c r="S18" s="95">
        <v>255</v>
      </c>
      <c r="T18" s="95">
        <v>255</v>
      </c>
      <c r="U18" s="95">
        <v>255</v>
      </c>
      <c r="V18" s="95">
        <v>0</v>
      </c>
      <c r="W18" s="95">
        <v>0</v>
      </c>
      <c r="X18" s="95">
        <v>0</v>
      </c>
      <c r="Y18" s="95">
        <v>0</v>
      </c>
      <c r="Z18" s="95">
        <v>0</v>
      </c>
      <c r="AA18" s="95">
        <v>0</v>
      </c>
      <c r="AB18" s="95">
        <v>0</v>
      </c>
      <c r="AD18" s="96">
        <f t="shared" si="1"/>
        <v>0</v>
      </c>
      <c r="AE18" s="96">
        <f t="shared" si="2"/>
        <v>0</v>
      </c>
      <c r="AF18" s="96">
        <f t="shared" si="3"/>
        <v>0</v>
      </c>
      <c r="AG18" s="96">
        <f t="shared" si="4"/>
        <v>0</v>
      </c>
      <c r="AH18" s="96">
        <f t="shared" si="5"/>
        <v>0</v>
      </c>
      <c r="AI18" s="96">
        <f t="shared" si="6"/>
        <v>0</v>
      </c>
      <c r="AJ18" s="96">
        <f t="shared" si="7"/>
        <v>0</v>
      </c>
      <c r="AK18" s="96">
        <f t="shared" si="8"/>
        <v>0</v>
      </c>
      <c r="AL18" s="96">
        <f t="shared" si="9"/>
        <v>0</v>
      </c>
      <c r="AM18" s="96">
        <f t="shared" si="10"/>
        <v>0</v>
      </c>
      <c r="AN18" s="96">
        <f t="shared" si="11"/>
        <v>0</v>
      </c>
      <c r="AO18" s="96">
        <f t="shared" si="12"/>
        <v>0</v>
      </c>
      <c r="AP18" s="96">
        <f t="shared" si="13"/>
        <v>0</v>
      </c>
      <c r="AQ18" s="96">
        <f t="shared" si="14"/>
        <v>0</v>
      </c>
      <c r="AR18" s="96">
        <f t="shared" si="15"/>
        <v>1</v>
      </c>
      <c r="AS18" s="96">
        <f t="shared" si="16"/>
        <v>0</v>
      </c>
      <c r="AT18" s="96">
        <f t="shared" si="17"/>
        <v>1</v>
      </c>
      <c r="AU18" s="96">
        <f t="shared" si="18"/>
        <v>1</v>
      </c>
      <c r="AV18" s="96">
        <f t="shared" si="19"/>
        <v>1</v>
      </c>
      <c r="AW18" s="96">
        <f t="shared" si="20"/>
        <v>1</v>
      </c>
      <c r="AX18" s="96">
        <f t="shared" si="21"/>
        <v>0</v>
      </c>
      <c r="AY18" s="96">
        <f t="shared" si="22"/>
        <v>0</v>
      </c>
      <c r="AZ18" s="96">
        <f t="shared" si="23"/>
        <v>0</v>
      </c>
      <c r="BA18" s="96">
        <f t="shared" si="24"/>
        <v>0</v>
      </c>
      <c r="BB18" s="96">
        <f t="shared" si="25"/>
        <v>0</v>
      </c>
      <c r="BC18" s="96">
        <f t="shared" si="26"/>
        <v>0</v>
      </c>
      <c r="BD18" s="96">
        <f t="shared" si="27"/>
        <v>0</v>
      </c>
      <c r="BE18" s="96">
        <f t="shared" si="28"/>
        <v>0</v>
      </c>
    </row>
    <row r="19" spans="1:57" ht="19.5" customHeight="1" thickBot="1">
      <c r="A19" s="96">
        <v>0</v>
      </c>
      <c r="B19" s="96">
        <v>0</v>
      </c>
      <c r="C19" s="96">
        <v>0</v>
      </c>
      <c r="D19" s="96">
        <v>0</v>
      </c>
      <c r="E19" s="96">
        <v>0</v>
      </c>
      <c r="F19" s="96">
        <v>0</v>
      </c>
      <c r="G19" s="96">
        <v>0</v>
      </c>
      <c r="H19" s="96">
        <v>0</v>
      </c>
      <c r="I19" s="96">
        <v>0</v>
      </c>
      <c r="J19" s="96">
        <v>0</v>
      </c>
      <c r="K19" s="96">
        <v>0</v>
      </c>
      <c r="L19" s="96">
        <v>0</v>
      </c>
      <c r="M19" s="96">
        <v>255</v>
      </c>
      <c r="N19" s="96">
        <v>255</v>
      </c>
      <c r="O19" s="96">
        <v>255</v>
      </c>
      <c r="P19" s="95">
        <v>255</v>
      </c>
      <c r="Q19" s="95">
        <v>255</v>
      </c>
      <c r="R19" s="95">
        <v>124</v>
      </c>
      <c r="S19" s="95">
        <v>255</v>
      </c>
      <c r="T19" s="95">
        <v>124</v>
      </c>
      <c r="U19" s="95">
        <v>0</v>
      </c>
      <c r="V19" s="95">
        <v>0</v>
      </c>
      <c r="W19" s="95">
        <v>0</v>
      </c>
      <c r="X19" s="95">
        <v>0</v>
      </c>
      <c r="Y19" s="95">
        <v>0</v>
      </c>
      <c r="Z19" s="95">
        <v>0</v>
      </c>
      <c r="AA19" s="95">
        <v>0</v>
      </c>
      <c r="AB19" s="95">
        <v>0</v>
      </c>
      <c r="AD19" s="96">
        <f t="shared" si="1"/>
        <v>0</v>
      </c>
      <c r="AE19" s="96">
        <f t="shared" si="2"/>
        <v>0</v>
      </c>
      <c r="AF19" s="96">
        <f t="shared" si="3"/>
        <v>0</v>
      </c>
      <c r="AG19" s="96">
        <f t="shared" si="4"/>
        <v>0</v>
      </c>
      <c r="AH19" s="96">
        <f t="shared" si="5"/>
        <v>0</v>
      </c>
      <c r="AI19" s="96">
        <f t="shared" si="6"/>
        <v>0</v>
      </c>
      <c r="AJ19" s="96">
        <f t="shared" si="7"/>
        <v>0</v>
      </c>
      <c r="AK19" s="96">
        <f t="shared" si="8"/>
        <v>0</v>
      </c>
      <c r="AL19" s="96">
        <f t="shared" si="9"/>
        <v>0</v>
      </c>
      <c r="AM19" s="96">
        <f t="shared" si="10"/>
        <v>0</v>
      </c>
      <c r="AN19" s="96">
        <f t="shared" si="11"/>
        <v>0</v>
      </c>
      <c r="AO19" s="96">
        <f t="shared" si="12"/>
        <v>1</v>
      </c>
      <c r="AP19" s="96">
        <f t="shared" si="13"/>
        <v>1</v>
      </c>
      <c r="AQ19" s="96">
        <f t="shared" si="14"/>
        <v>1</v>
      </c>
      <c r="AR19" s="96">
        <f t="shared" si="15"/>
        <v>1</v>
      </c>
      <c r="AS19" s="96">
        <f t="shared" si="16"/>
        <v>1</v>
      </c>
      <c r="AT19" s="96">
        <f t="shared" si="17"/>
        <v>0.48627450980392156</v>
      </c>
      <c r="AU19" s="96">
        <f t="shared" si="18"/>
        <v>1</v>
      </c>
      <c r="AV19" s="96">
        <f t="shared" si="19"/>
        <v>0.48627450980392156</v>
      </c>
      <c r="AW19" s="96">
        <f t="shared" si="20"/>
        <v>0</v>
      </c>
      <c r="AX19" s="96">
        <f t="shared" si="21"/>
        <v>0</v>
      </c>
      <c r="AY19" s="96">
        <f t="shared" si="22"/>
        <v>0</v>
      </c>
      <c r="AZ19" s="96">
        <f t="shared" si="23"/>
        <v>0</v>
      </c>
      <c r="BA19" s="96">
        <f t="shared" si="24"/>
        <v>0</v>
      </c>
      <c r="BB19" s="96">
        <f t="shared" si="25"/>
        <v>0</v>
      </c>
      <c r="BC19" s="96">
        <f t="shared" si="26"/>
        <v>0</v>
      </c>
      <c r="BD19" s="96">
        <f t="shared" si="27"/>
        <v>0</v>
      </c>
      <c r="BE19" s="96">
        <f t="shared" si="28"/>
        <v>0</v>
      </c>
    </row>
    <row r="20" spans="1:57" ht="19.5" customHeight="1" thickBot="1">
      <c r="A20" s="96">
        <v>0</v>
      </c>
      <c r="B20" s="96">
        <v>0</v>
      </c>
      <c r="C20" s="96">
        <v>0</v>
      </c>
      <c r="D20" s="96">
        <v>0</v>
      </c>
      <c r="E20" s="96">
        <v>0</v>
      </c>
      <c r="F20" s="96">
        <v>0</v>
      </c>
      <c r="G20" s="96">
        <v>0</v>
      </c>
      <c r="H20" s="96">
        <v>0</v>
      </c>
      <c r="I20" s="96">
        <v>0</v>
      </c>
      <c r="J20" s="96">
        <v>0</v>
      </c>
      <c r="K20" s="96">
        <v>0</v>
      </c>
      <c r="L20" s="96">
        <v>255</v>
      </c>
      <c r="M20" s="96">
        <v>255</v>
      </c>
      <c r="N20" s="96">
        <v>124</v>
      </c>
      <c r="O20" s="96">
        <v>255</v>
      </c>
      <c r="P20" s="95">
        <v>124</v>
      </c>
      <c r="Q20" s="95">
        <v>124</v>
      </c>
      <c r="R20" s="95">
        <v>255</v>
      </c>
      <c r="S20" s="95">
        <v>255</v>
      </c>
      <c r="T20" s="95">
        <v>255</v>
      </c>
      <c r="U20" s="95">
        <v>0</v>
      </c>
      <c r="V20" s="95">
        <v>0</v>
      </c>
      <c r="W20" s="95">
        <v>0</v>
      </c>
      <c r="X20" s="95">
        <v>0</v>
      </c>
      <c r="Y20" s="95">
        <v>0</v>
      </c>
      <c r="Z20" s="95">
        <v>0</v>
      </c>
      <c r="AA20" s="95">
        <v>0</v>
      </c>
      <c r="AB20" s="95">
        <v>0</v>
      </c>
      <c r="AD20" s="96">
        <f t="shared" si="1"/>
        <v>0</v>
      </c>
      <c r="AE20" s="96">
        <f t="shared" si="2"/>
        <v>0</v>
      </c>
      <c r="AF20" s="96">
        <f t="shared" si="3"/>
        <v>0</v>
      </c>
      <c r="AG20" s="96">
        <f t="shared" si="4"/>
        <v>0</v>
      </c>
      <c r="AH20" s="96">
        <f t="shared" si="5"/>
        <v>0</v>
      </c>
      <c r="AI20" s="96">
        <f t="shared" si="6"/>
        <v>0</v>
      </c>
      <c r="AJ20" s="96">
        <f t="shared" si="7"/>
        <v>0</v>
      </c>
      <c r="AK20" s="96">
        <f t="shared" si="8"/>
        <v>0</v>
      </c>
      <c r="AL20" s="96">
        <f t="shared" si="9"/>
        <v>0</v>
      </c>
      <c r="AM20" s="96">
        <f t="shared" si="10"/>
        <v>0</v>
      </c>
      <c r="AN20" s="96">
        <f t="shared" si="11"/>
        <v>1</v>
      </c>
      <c r="AO20" s="96">
        <f t="shared" si="12"/>
        <v>1</v>
      </c>
      <c r="AP20" s="96">
        <f t="shared" si="13"/>
        <v>0.48627450980392156</v>
      </c>
      <c r="AQ20" s="96">
        <f t="shared" si="14"/>
        <v>1</v>
      </c>
      <c r="AR20" s="96">
        <f t="shared" si="15"/>
        <v>0.48627450980392156</v>
      </c>
      <c r="AS20" s="96">
        <f t="shared" si="16"/>
        <v>0.48627450980392156</v>
      </c>
      <c r="AT20" s="96">
        <f t="shared" si="17"/>
        <v>1</v>
      </c>
      <c r="AU20" s="96">
        <f t="shared" si="18"/>
        <v>1</v>
      </c>
      <c r="AV20" s="96">
        <f t="shared" si="19"/>
        <v>1</v>
      </c>
      <c r="AW20" s="96">
        <f t="shared" si="20"/>
        <v>0</v>
      </c>
      <c r="AX20" s="96">
        <f t="shared" si="21"/>
        <v>0</v>
      </c>
      <c r="AY20" s="96">
        <f t="shared" si="22"/>
        <v>0</v>
      </c>
      <c r="AZ20" s="96">
        <f t="shared" si="23"/>
        <v>0</v>
      </c>
      <c r="BA20" s="96">
        <f t="shared" si="24"/>
        <v>0</v>
      </c>
      <c r="BB20" s="96">
        <f t="shared" si="25"/>
        <v>0</v>
      </c>
      <c r="BC20" s="96">
        <f t="shared" si="26"/>
        <v>0</v>
      </c>
      <c r="BD20" s="96">
        <f t="shared" si="27"/>
        <v>0</v>
      </c>
      <c r="BE20" s="96">
        <f t="shared" si="28"/>
        <v>0</v>
      </c>
    </row>
    <row r="21" spans="1:57" ht="19.5" customHeight="1" thickBot="1">
      <c r="A21" s="96">
        <v>0</v>
      </c>
      <c r="B21" s="96">
        <v>0</v>
      </c>
      <c r="C21" s="96">
        <v>0</v>
      </c>
      <c r="D21" s="96">
        <v>0</v>
      </c>
      <c r="E21" s="96">
        <v>0</v>
      </c>
      <c r="F21" s="96">
        <v>0</v>
      </c>
      <c r="G21" s="96">
        <v>0</v>
      </c>
      <c r="H21" s="96">
        <v>0</v>
      </c>
      <c r="I21" s="96">
        <v>0</v>
      </c>
      <c r="J21" s="96">
        <v>0</v>
      </c>
      <c r="K21" s="96">
        <v>0</v>
      </c>
      <c r="L21" s="96">
        <v>255</v>
      </c>
      <c r="M21" s="96">
        <v>255</v>
      </c>
      <c r="N21" s="96">
        <v>124</v>
      </c>
      <c r="O21" s="96">
        <v>255</v>
      </c>
      <c r="P21" s="95">
        <v>255</v>
      </c>
      <c r="Q21" s="95">
        <v>255</v>
      </c>
      <c r="R21" s="95">
        <v>255</v>
      </c>
      <c r="S21" s="95">
        <v>255</v>
      </c>
      <c r="T21" s="95">
        <v>0</v>
      </c>
      <c r="U21" s="95">
        <v>0</v>
      </c>
      <c r="V21" s="95">
        <v>0</v>
      </c>
      <c r="W21" s="95">
        <v>0</v>
      </c>
      <c r="X21" s="95">
        <v>0</v>
      </c>
      <c r="Y21" s="95">
        <v>0</v>
      </c>
      <c r="Z21" s="95">
        <v>0</v>
      </c>
      <c r="AA21" s="95">
        <v>0</v>
      </c>
      <c r="AB21" s="95">
        <v>0</v>
      </c>
      <c r="AD21" s="96">
        <f t="shared" si="1"/>
        <v>0</v>
      </c>
      <c r="AE21" s="96">
        <f t="shared" si="2"/>
        <v>0</v>
      </c>
      <c r="AF21" s="96">
        <f t="shared" si="3"/>
        <v>0</v>
      </c>
      <c r="AG21" s="96">
        <f t="shared" si="4"/>
        <v>0</v>
      </c>
      <c r="AH21" s="96">
        <f t="shared" si="5"/>
        <v>0</v>
      </c>
      <c r="AI21" s="96">
        <f t="shared" si="6"/>
        <v>0</v>
      </c>
      <c r="AJ21" s="96">
        <f t="shared" si="7"/>
        <v>0</v>
      </c>
      <c r="AK21" s="96">
        <f t="shared" si="8"/>
        <v>0</v>
      </c>
      <c r="AL21" s="96">
        <f t="shared" si="9"/>
        <v>0</v>
      </c>
      <c r="AM21" s="96">
        <f t="shared" si="10"/>
        <v>0</v>
      </c>
      <c r="AN21" s="96">
        <f t="shared" si="11"/>
        <v>1</v>
      </c>
      <c r="AO21" s="96">
        <f t="shared" si="12"/>
        <v>1</v>
      </c>
      <c r="AP21" s="96">
        <f t="shared" si="13"/>
        <v>0.48627450980392156</v>
      </c>
      <c r="AQ21" s="96">
        <f t="shared" si="14"/>
        <v>1</v>
      </c>
      <c r="AR21" s="96">
        <f t="shared" si="15"/>
        <v>1</v>
      </c>
      <c r="AS21" s="96">
        <f t="shared" si="16"/>
        <v>1</v>
      </c>
      <c r="AT21" s="96">
        <f t="shared" si="17"/>
        <v>1</v>
      </c>
      <c r="AU21" s="96">
        <f t="shared" si="18"/>
        <v>1</v>
      </c>
      <c r="AV21" s="96">
        <f t="shared" si="19"/>
        <v>0</v>
      </c>
      <c r="AW21" s="96">
        <f t="shared" si="20"/>
        <v>0</v>
      </c>
      <c r="AX21" s="96">
        <f t="shared" si="21"/>
        <v>0</v>
      </c>
      <c r="AY21" s="96">
        <f t="shared" si="22"/>
        <v>0</v>
      </c>
      <c r="AZ21" s="96">
        <f t="shared" si="23"/>
        <v>0</v>
      </c>
      <c r="BA21" s="96">
        <f t="shared" si="24"/>
        <v>0</v>
      </c>
      <c r="BB21" s="96">
        <f t="shared" si="25"/>
        <v>0</v>
      </c>
      <c r="BC21" s="96">
        <f t="shared" si="26"/>
        <v>0</v>
      </c>
      <c r="BD21" s="96">
        <f t="shared" si="27"/>
        <v>0</v>
      </c>
      <c r="BE21" s="96">
        <f t="shared" si="28"/>
        <v>0</v>
      </c>
    </row>
    <row r="22" spans="1:57" ht="19.5" customHeight="1" thickBot="1">
      <c r="A22" s="96">
        <v>0</v>
      </c>
      <c r="B22" s="96">
        <v>0</v>
      </c>
      <c r="C22" s="96">
        <v>0</v>
      </c>
      <c r="D22" s="96">
        <v>0</v>
      </c>
      <c r="E22" s="96">
        <v>0</v>
      </c>
      <c r="F22" s="96">
        <v>0</v>
      </c>
      <c r="G22" s="96">
        <v>0</v>
      </c>
      <c r="H22" s="96">
        <v>0</v>
      </c>
      <c r="I22" s="96">
        <v>0</v>
      </c>
      <c r="J22" s="96">
        <v>0</v>
      </c>
      <c r="K22" s="96">
        <v>0</v>
      </c>
      <c r="L22" s="96">
        <v>255</v>
      </c>
      <c r="M22" s="96">
        <v>255</v>
      </c>
      <c r="N22" s="96">
        <v>255</v>
      </c>
      <c r="O22" s="96">
        <v>255</v>
      </c>
      <c r="P22" s="95">
        <v>255</v>
      </c>
      <c r="Q22" s="95">
        <v>255</v>
      </c>
      <c r="R22" s="95">
        <v>0</v>
      </c>
      <c r="S22" s="95">
        <v>0</v>
      </c>
      <c r="T22" s="95">
        <v>0</v>
      </c>
      <c r="U22" s="95">
        <v>0</v>
      </c>
      <c r="V22" s="95">
        <v>0</v>
      </c>
      <c r="W22" s="95">
        <v>0</v>
      </c>
      <c r="X22" s="95">
        <v>0</v>
      </c>
      <c r="Y22" s="95">
        <v>0</v>
      </c>
      <c r="Z22" s="95">
        <v>0</v>
      </c>
      <c r="AA22" s="95">
        <v>0</v>
      </c>
      <c r="AB22" s="95">
        <v>0</v>
      </c>
      <c r="AD22" s="96">
        <f t="shared" si="1"/>
        <v>0</v>
      </c>
      <c r="AE22" s="96">
        <f t="shared" si="2"/>
        <v>0</v>
      </c>
      <c r="AF22" s="96">
        <f t="shared" si="3"/>
        <v>0</v>
      </c>
      <c r="AG22" s="96">
        <f t="shared" si="4"/>
        <v>0</v>
      </c>
      <c r="AH22" s="96">
        <f t="shared" si="5"/>
        <v>0</v>
      </c>
      <c r="AI22" s="96">
        <f t="shared" si="6"/>
        <v>0</v>
      </c>
      <c r="AJ22" s="96">
        <f t="shared" si="7"/>
        <v>0</v>
      </c>
      <c r="AK22" s="96">
        <f t="shared" si="8"/>
        <v>0</v>
      </c>
      <c r="AL22" s="96">
        <f t="shared" si="9"/>
        <v>0</v>
      </c>
      <c r="AM22" s="96">
        <f t="shared" si="10"/>
        <v>0</v>
      </c>
      <c r="AN22" s="96">
        <f t="shared" si="11"/>
        <v>1</v>
      </c>
      <c r="AO22" s="96">
        <f t="shared" si="12"/>
        <v>1</v>
      </c>
      <c r="AP22" s="96">
        <f t="shared" si="13"/>
        <v>1</v>
      </c>
      <c r="AQ22" s="96">
        <f t="shared" si="14"/>
        <v>1</v>
      </c>
      <c r="AR22" s="96">
        <f t="shared" si="15"/>
        <v>1</v>
      </c>
      <c r="AS22" s="96">
        <f t="shared" si="16"/>
        <v>1</v>
      </c>
      <c r="AT22" s="96">
        <f t="shared" si="17"/>
        <v>0</v>
      </c>
      <c r="AU22" s="96">
        <f t="shared" si="18"/>
        <v>0</v>
      </c>
      <c r="AV22" s="96">
        <f t="shared" si="19"/>
        <v>0</v>
      </c>
      <c r="AW22" s="96">
        <f t="shared" si="20"/>
        <v>0</v>
      </c>
      <c r="AX22" s="96">
        <f t="shared" si="21"/>
        <v>0</v>
      </c>
      <c r="AY22" s="96">
        <f t="shared" si="22"/>
        <v>0</v>
      </c>
      <c r="AZ22" s="96">
        <f t="shared" si="23"/>
        <v>0</v>
      </c>
      <c r="BA22" s="96">
        <f t="shared" si="24"/>
        <v>0</v>
      </c>
      <c r="BB22" s="96">
        <f t="shared" si="25"/>
        <v>0</v>
      </c>
      <c r="BC22" s="96">
        <f t="shared" si="26"/>
        <v>0</v>
      </c>
      <c r="BD22" s="96">
        <f t="shared" si="27"/>
        <v>0</v>
      </c>
      <c r="BE22" s="96">
        <f t="shared" si="28"/>
        <v>0</v>
      </c>
    </row>
    <row r="23" spans="1:57" ht="19.5" customHeight="1" thickBot="1">
      <c r="A23" s="96">
        <v>0</v>
      </c>
      <c r="B23" s="96">
        <v>0</v>
      </c>
      <c r="C23" s="96">
        <v>0</v>
      </c>
      <c r="D23" s="96">
        <v>0</v>
      </c>
      <c r="E23" s="96">
        <v>0</v>
      </c>
      <c r="F23" s="96">
        <v>0</v>
      </c>
      <c r="G23" s="96">
        <v>0</v>
      </c>
      <c r="H23" s="96">
        <v>0</v>
      </c>
      <c r="I23" s="96">
        <v>0</v>
      </c>
      <c r="J23" s="96">
        <v>0</v>
      </c>
      <c r="K23" s="96">
        <v>0</v>
      </c>
      <c r="L23" s="96">
        <v>0</v>
      </c>
      <c r="M23" s="96">
        <v>0</v>
      </c>
      <c r="N23" s="96">
        <v>0</v>
      </c>
      <c r="O23" s="96">
        <v>0</v>
      </c>
      <c r="P23" s="95">
        <v>0</v>
      </c>
      <c r="Q23" s="95">
        <v>0</v>
      </c>
      <c r="R23" s="95">
        <v>0</v>
      </c>
      <c r="S23" s="95">
        <v>0</v>
      </c>
      <c r="T23" s="95">
        <v>0</v>
      </c>
      <c r="U23" s="95">
        <v>0</v>
      </c>
      <c r="V23" s="95">
        <v>0</v>
      </c>
      <c r="W23" s="95">
        <v>0</v>
      </c>
      <c r="X23" s="95">
        <v>0</v>
      </c>
      <c r="Y23" s="95">
        <v>0</v>
      </c>
      <c r="Z23" s="95">
        <v>0</v>
      </c>
      <c r="AA23" s="95">
        <v>0</v>
      </c>
      <c r="AB23" s="95">
        <v>0</v>
      </c>
      <c r="AD23" s="96">
        <f t="shared" si="1"/>
        <v>0</v>
      </c>
      <c r="AE23" s="96">
        <f t="shared" si="2"/>
        <v>0</v>
      </c>
      <c r="AF23" s="96">
        <f t="shared" si="3"/>
        <v>0</v>
      </c>
      <c r="AG23" s="96">
        <f t="shared" si="4"/>
        <v>0</v>
      </c>
      <c r="AH23" s="96">
        <f t="shared" si="5"/>
        <v>0</v>
      </c>
      <c r="AI23" s="96">
        <f t="shared" si="6"/>
        <v>0</v>
      </c>
      <c r="AJ23" s="96">
        <f t="shared" si="7"/>
        <v>0</v>
      </c>
      <c r="AK23" s="96">
        <f t="shared" si="8"/>
        <v>0</v>
      </c>
      <c r="AL23" s="96">
        <f t="shared" si="9"/>
        <v>0</v>
      </c>
      <c r="AM23" s="96">
        <f t="shared" si="10"/>
        <v>0</v>
      </c>
      <c r="AN23" s="96">
        <f t="shared" si="11"/>
        <v>0</v>
      </c>
      <c r="AO23" s="96">
        <f t="shared" si="12"/>
        <v>0</v>
      </c>
      <c r="AP23" s="96">
        <f t="shared" si="13"/>
        <v>0</v>
      </c>
      <c r="AQ23" s="96">
        <f t="shared" si="14"/>
        <v>0</v>
      </c>
      <c r="AR23" s="96">
        <f t="shared" si="15"/>
        <v>0</v>
      </c>
      <c r="AS23" s="96">
        <f t="shared" si="16"/>
        <v>0</v>
      </c>
      <c r="AT23" s="96">
        <f t="shared" si="17"/>
        <v>0</v>
      </c>
      <c r="AU23" s="96">
        <f t="shared" si="18"/>
        <v>0</v>
      </c>
      <c r="AV23" s="96">
        <f t="shared" si="19"/>
        <v>0</v>
      </c>
      <c r="AW23" s="96">
        <f t="shared" si="20"/>
        <v>0</v>
      </c>
      <c r="AX23" s="96">
        <f t="shared" si="21"/>
        <v>0</v>
      </c>
      <c r="AY23" s="96">
        <f t="shared" si="22"/>
        <v>0</v>
      </c>
      <c r="AZ23" s="96">
        <f t="shared" si="23"/>
        <v>0</v>
      </c>
      <c r="BA23" s="96">
        <f t="shared" si="24"/>
        <v>0</v>
      </c>
      <c r="BB23" s="96">
        <f t="shared" si="25"/>
        <v>0</v>
      </c>
      <c r="BC23" s="96">
        <f t="shared" si="26"/>
        <v>0</v>
      </c>
      <c r="BD23" s="96">
        <f t="shared" si="27"/>
        <v>0</v>
      </c>
      <c r="BE23" s="96">
        <f t="shared" si="28"/>
        <v>0</v>
      </c>
    </row>
    <row r="24" spans="1:57" ht="19.5" customHeight="1" thickBot="1">
      <c r="A24" s="96">
        <v>0</v>
      </c>
      <c r="B24" s="96">
        <v>0</v>
      </c>
      <c r="C24" s="96">
        <v>0</v>
      </c>
      <c r="D24" s="96">
        <v>0</v>
      </c>
      <c r="E24" s="96">
        <v>0</v>
      </c>
      <c r="F24" s="96">
        <v>0</v>
      </c>
      <c r="G24" s="96">
        <v>0</v>
      </c>
      <c r="H24" s="96">
        <v>0</v>
      </c>
      <c r="I24" s="96">
        <v>0</v>
      </c>
      <c r="J24" s="96">
        <v>0</v>
      </c>
      <c r="K24" s="96">
        <v>0</v>
      </c>
      <c r="L24" s="96">
        <v>0</v>
      </c>
      <c r="M24" s="96">
        <v>0</v>
      </c>
      <c r="N24" s="96">
        <v>0</v>
      </c>
      <c r="O24" s="96">
        <v>0</v>
      </c>
      <c r="P24" s="95">
        <v>0</v>
      </c>
      <c r="Q24" s="95">
        <v>0</v>
      </c>
      <c r="R24" s="95">
        <v>0</v>
      </c>
      <c r="S24" s="95">
        <v>0</v>
      </c>
      <c r="T24" s="95">
        <v>0</v>
      </c>
      <c r="U24" s="95">
        <v>0</v>
      </c>
      <c r="V24" s="95">
        <v>0</v>
      </c>
      <c r="W24" s="95">
        <v>0</v>
      </c>
      <c r="X24" s="95">
        <v>0</v>
      </c>
      <c r="Y24" s="95">
        <v>0</v>
      </c>
      <c r="Z24" s="95">
        <v>0</v>
      </c>
      <c r="AA24" s="95">
        <v>0</v>
      </c>
      <c r="AB24" s="95">
        <v>0</v>
      </c>
      <c r="AD24" s="96">
        <f t="shared" si="1"/>
        <v>0</v>
      </c>
      <c r="AE24" s="96">
        <f t="shared" si="2"/>
        <v>0</v>
      </c>
      <c r="AF24" s="96">
        <f t="shared" si="3"/>
        <v>0</v>
      </c>
      <c r="AG24" s="96">
        <f t="shared" si="4"/>
        <v>0</v>
      </c>
      <c r="AH24" s="96">
        <f t="shared" si="5"/>
        <v>0</v>
      </c>
      <c r="AI24" s="96">
        <f t="shared" si="6"/>
        <v>0</v>
      </c>
      <c r="AJ24" s="96">
        <f t="shared" si="7"/>
        <v>0</v>
      </c>
      <c r="AK24" s="96">
        <f t="shared" si="8"/>
        <v>0</v>
      </c>
      <c r="AL24" s="96">
        <f t="shared" si="9"/>
        <v>0</v>
      </c>
      <c r="AM24" s="96">
        <f t="shared" si="10"/>
        <v>0</v>
      </c>
      <c r="AN24" s="96">
        <f t="shared" si="11"/>
        <v>0</v>
      </c>
      <c r="AO24" s="96">
        <f t="shared" si="12"/>
        <v>0</v>
      </c>
      <c r="AP24" s="96">
        <f t="shared" si="13"/>
        <v>0</v>
      </c>
      <c r="AQ24" s="96">
        <f t="shared" si="14"/>
        <v>0</v>
      </c>
      <c r="AR24" s="96">
        <f t="shared" si="15"/>
        <v>0</v>
      </c>
      <c r="AS24" s="96">
        <f t="shared" si="16"/>
        <v>0</v>
      </c>
      <c r="AT24" s="96">
        <f t="shared" si="17"/>
        <v>0</v>
      </c>
      <c r="AU24" s="96">
        <f t="shared" si="18"/>
        <v>0</v>
      </c>
      <c r="AV24" s="96">
        <f t="shared" si="19"/>
        <v>0</v>
      </c>
      <c r="AW24" s="96">
        <f t="shared" si="20"/>
        <v>0</v>
      </c>
      <c r="AX24" s="96">
        <f t="shared" si="21"/>
        <v>0</v>
      </c>
      <c r="AY24" s="96">
        <f t="shared" si="22"/>
        <v>0</v>
      </c>
      <c r="AZ24" s="96">
        <f t="shared" si="23"/>
        <v>0</v>
      </c>
      <c r="BA24" s="96">
        <f t="shared" si="24"/>
        <v>0</v>
      </c>
      <c r="BB24" s="96">
        <f t="shared" si="25"/>
        <v>0</v>
      </c>
      <c r="BC24" s="96">
        <f t="shared" si="26"/>
        <v>0</v>
      </c>
      <c r="BD24" s="96">
        <f t="shared" si="27"/>
        <v>0</v>
      </c>
      <c r="BE24" s="96">
        <f t="shared" si="28"/>
        <v>0</v>
      </c>
    </row>
    <row r="25" spans="1:57" ht="19.5" customHeight="1" thickBot="1">
      <c r="A25" s="96">
        <v>0</v>
      </c>
      <c r="B25" s="96">
        <v>0</v>
      </c>
      <c r="C25" s="96">
        <v>0</v>
      </c>
      <c r="D25" s="96">
        <v>0</v>
      </c>
      <c r="E25" s="96">
        <v>0</v>
      </c>
      <c r="F25" s="96">
        <v>0</v>
      </c>
      <c r="G25" s="96">
        <v>0</v>
      </c>
      <c r="H25" s="96">
        <v>0</v>
      </c>
      <c r="I25" s="96">
        <v>0</v>
      </c>
      <c r="J25" s="96">
        <v>0</v>
      </c>
      <c r="K25" s="96">
        <v>0</v>
      </c>
      <c r="L25" s="96">
        <v>0</v>
      </c>
      <c r="M25" s="96">
        <v>0</v>
      </c>
      <c r="N25" s="96">
        <v>0</v>
      </c>
      <c r="O25" s="96">
        <v>0</v>
      </c>
      <c r="P25" s="95">
        <v>0</v>
      </c>
      <c r="Q25" s="95">
        <v>0</v>
      </c>
      <c r="R25" s="95">
        <v>0</v>
      </c>
      <c r="S25" s="95">
        <v>0</v>
      </c>
      <c r="T25" s="95">
        <v>0</v>
      </c>
      <c r="U25" s="95">
        <v>0</v>
      </c>
      <c r="V25" s="95">
        <v>0</v>
      </c>
      <c r="W25" s="95">
        <v>0</v>
      </c>
      <c r="X25" s="95">
        <v>0</v>
      </c>
      <c r="Y25" s="95">
        <v>0</v>
      </c>
      <c r="Z25" s="95">
        <v>0</v>
      </c>
      <c r="AA25" s="95">
        <v>0</v>
      </c>
      <c r="AB25" s="95">
        <v>0</v>
      </c>
      <c r="AD25" s="96">
        <f t="shared" si="1"/>
        <v>0</v>
      </c>
      <c r="AE25" s="96">
        <f t="shared" si="2"/>
        <v>0</v>
      </c>
      <c r="AF25" s="96">
        <f t="shared" si="3"/>
        <v>0</v>
      </c>
      <c r="AG25" s="96">
        <f t="shared" si="4"/>
        <v>0</v>
      </c>
      <c r="AH25" s="96">
        <f t="shared" si="5"/>
        <v>0</v>
      </c>
      <c r="AI25" s="96">
        <f t="shared" si="6"/>
        <v>0</v>
      </c>
      <c r="AJ25" s="96">
        <f t="shared" si="7"/>
        <v>0</v>
      </c>
      <c r="AK25" s="96">
        <f t="shared" si="8"/>
        <v>0</v>
      </c>
      <c r="AL25" s="96">
        <f t="shared" si="9"/>
        <v>0</v>
      </c>
      <c r="AM25" s="96">
        <f t="shared" si="10"/>
        <v>0</v>
      </c>
      <c r="AN25" s="96">
        <f t="shared" si="11"/>
        <v>0</v>
      </c>
      <c r="AO25" s="96">
        <f t="shared" si="12"/>
        <v>0</v>
      </c>
      <c r="AP25" s="96">
        <f t="shared" si="13"/>
        <v>0</v>
      </c>
      <c r="AQ25" s="96">
        <f t="shared" si="14"/>
        <v>0</v>
      </c>
      <c r="AR25" s="96">
        <f t="shared" si="15"/>
        <v>0</v>
      </c>
      <c r="AS25" s="96">
        <f t="shared" si="16"/>
        <v>0</v>
      </c>
      <c r="AT25" s="96">
        <f t="shared" si="17"/>
        <v>0</v>
      </c>
      <c r="AU25" s="96">
        <f t="shared" si="18"/>
        <v>0</v>
      </c>
      <c r="AV25" s="96">
        <f t="shared" si="19"/>
        <v>0</v>
      </c>
      <c r="AW25" s="96">
        <f t="shared" si="20"/>
        <v>0</v>
      </c>
      <c r="AX25" s="96">
        <f t="shared" si="21"/>
        <v>0</v>
      </c>
      <c r="AY25" s="96">
        <f t="shared" si="22"/>
        <v>0</v>
      </c>
      <c r="AZ25" s="96">
        <f t="shared" si="23"/>
        <v>0</v>
      </c>
      <c r="BA25" s="96">
        <f t="shared" si="24"/>
        <v>0</v>
      </c>
      <c r="BB25" s="96">
        <f t="shared" si="25"/>
        <v>0</v>
      </c>
      <c r="BC25" s="96">
        <f t="shared" si="26"/>
        <v>0</v>
      </c>
      <c r="BD25" s="96">
        <f t="shared" si="27"/>
        <v>0</v>
      </c>
      <c r="BE25" s="96">
        <f t="shared" si="28"/>
        <v>0</v>
      </c>
    </row>
    <row r="26" spans="1:57" ht="19.5" customHeight="1" thickBot="1">
      <c r="A26" s="96">
        <v>0</v>
      </c>
      <c r="B26" s="96">
        <v>0</v>
      </c>
      <c r="C26" s="96">
        <v>0</v>
      </c>
      <c r="D26" s="96">
        <v>0</v>
      </c>
      <c r="E26" s="96">
        <v>0</v>
      </c>
      <c r="F26" s="96">
        <v>0</v>
      </c>
      <c r="G26" s="96">
        <v>0</v>
      </c>
      <c r="H26" s="96">
        <v>0</v>
      </c>
      <c r="I26" s="96">
        <v>0</v>
      </c>
      <c r="J26" s="96">
        <v>0</v>
      </c>
      <c r="K26" s="96">
        <v>0</v>
      </c>
      <c r="L26" s="96">
        <v>0</v>
      </c>
      <c r="M26" s="96">
        <v>0</v>
      </c>
      <c r="N26" s="96">
        <v>0</v>
      </c>
      <c r="O26" s="96">
        <v>0</v>
      </c>
      <c r="P26" s="95">
        <v>0</v>
      </c>
      <c r="Q26" s="95">
        <v>0</v>
      </c>
      <c r="R26" s="95">
        <v>0</v>
      </c>
      <c r="S26" s="95">
        <v>0</v>
      </c>
      <c r="T26" s="95">
        <v>0</v>
      </c>
      <c r="U26" s="95">
        <v>0</v>
      </c>
      <c r="V26" s="95">
        <v>0</v>
      </c>
      <c r="W26" s="95">
        <v>0</v>
      </c>
      <c r="X26" s="95">
        <v>0</v>
      </c>
      <c r="Y26" s="95">
        <v>0</v>
      </c>
      <c r="Z26" s="95">
        <v>0</v>
      </c>
      <c r="AA26" s="95">
        <v>0</v>
      </c>
      <c r="AB26" s="95">
        <v>0</v>
      </c>
      <c r="AD26" s="96">
        <f t="shared" si="1"/>
        <v>0</v>
      </c>
      <c r="AE26" s="96">
        <f t="shared" si="2"/>
        <v>0</v>
      </c>
      <c r="AF26" s="96">
        <f t="shared" si="3"/>
        <v>0</v>
      </c>
      <c r="AG26" s="96">
        <f t="shared" si="4"/>
        <v>0</v>
      </c>
      <c r="AH26" s="96">
        <f t="shared" si="5"/>
        <v>0</v>
      </c>
      <c r="AI26" s="96">
        <f t="shared" si="6"/>
        <v>0</v>
      </c>
      <c r="AJ26" s="96">
        <f t="shared" si="7"/>
        <v>0</v>
      </c>
      <c r="AK26" s="96">
        <f t="shared" si="8"/>
        <v>0</v>
      </c>
      <c r="AL26" s="96">
        <f t="shared" si="9"/>
        <v>0</v>
      </c>
      <c r="AM26" s="96">
        <f t="shared" si="10"/>
        <v>0</v>
      </c>
      <c r="AN26" s="96">
        <f t="shared" si="11"/>
        <v>0</v>
      </c>
      <c r="AO26" s="96">
        <f t="shared" si="12"/>
        <v>0</v>
      </c>
      <c r="AP26" s="96">
        <f t="shared" si="13"/>
        <v>0</v>
      </c>
      <c r="AQ26" s="96">
        <f t="shared" si="14"/>
        <v>0</v>
      </c>
      <c r="AR26" s="96">
        <f t="shared" si="15"/>
        <v>0</v>
      </c>
      <c r="AS26" s="96">
        <f t="shared" si="16"/>
        <v>0</v>
      </c>
      <c r="AT26" s="96">
        <f t="shared" si="17"/>
        <v>0</v>
      </c>
      <c r="AU26" s="96">
        <f t="shared" si="18"/>
        <v>0</v>
      </c>
      <c r="AV26" s="96">
        <f t="shared" si="19"/>
        <v>0</v>
      </c>
      <c r="AW26" s="96">
        <f t="shared" si="20"/>
        <v>0</v>
      </c>
      <c r="AX26" s="96">
        <f t="shared" si="21"/>
        <v>0</v>
      </c>
      <c r="AY26" s="96">
        <f t="shared" si="22"/>
        <v>0</v>
      </c>
      <c r="AZ26" s="96">
        <f t="shared" si="23"/>
        <v>0</v>
      </c>
      <c r="BA26" s="96">
        <f t="shared" si="24"/>
        <v>0</v>
      </c>
      <c r="BB26" s="96">
        <f t="shared" si="25"/>
        <v>0</v>
      </c>
      <c r="BC26" s="96">
        <f t="shared" si="26"/>
        <v>0</v>
      </c>
      <c r="BD26" s="96">
        <f t="shared" si="27"/>
        <v>0</v>
      </c>
      <c r="BE26" s="96">
        <f t="shared" si="28"/>
        <v>0</v>
      </c>
    </row>
    <row r="27" spans="1:57" ht="19.5" customHeight="1" thickBot="1">
      <c r="A27" s="96">
        <v>0</v>
      </c>
      <c r="B27" s="96">
        <v>0</v>
      </c>
      <c r="C27" s="96">
        <v>0</v>
      </c>
      <c r="D27" s="96">
        <v>0</v>
      </c>
      <c r="E27" s="96">
        <v>0</v>
      </c>
      <c r="F27" s="96">
        <v>0</v>
      </c>
      <c r="G27" s="96">
        <v>0</v>
      </c>
      <c r="H27" s="96">
        <v>0</v>
      </c>
      <c r="I27" s="96">
        <v>0</v>
      </c>
      <c r="J27" s="96">
        <v>0</v>
      </c>
      <c r="K27" s="96">
        <v>0</v>
      </c>
      <c r="L27" s="96">
        <v>0</v>
      </c>
      <c r="M27" s="96">
        <v>0</v>
      </c>
      <c r="N27" s="96">
        <v>0</v>
      </c>
      <c r="O27" s="96">
        <v>0</v>
      </c>
      <c r="P27" s="95">
        <v>0</v>
      </c>
      <c r="Q27" s="95">
        <v>0</v>
      </c>
      <c r="R27" s="95">
        <v>0</v>
      </c>
      <c r="S27" s="95">
        <v>0</v>
      </c>
      <c r="T27" s="95">
        <v>0</v>
      </c>
      <c r="U27" s="95">
        <v>0</v>
      </c>
      <c r="V27" s="95">
        <v>0</v>
      </c>
      <c r="W27" s="95">
        <v>0</v>
      </c>
      <c r="X27" s="95">
        <v>0</v>
      </c>
      <c r="Y27" s="95">
        <v>0</v>
      </c>
      <c r="Z27" s="95">
        <v>0</v>
      </c>
      <c r="AA27" s="95">
        <v>0</v>
      </c>
      <c r="AB27" s="95">
        <v>0</v>
      </c>
      <c r="AD27" s="96">
        <f t="shared" si="1"/>
        <v>0</v>
      </c>
      <c r="AE27" s="96">
        <f t="shared" si="2"/>
        <v>0</v>
      </c>
      <c r="AF27" s="96">
        <f t="shared" si="3"/>
        <v>0</v>
      </c>
      <c r="AG27" s="96">
        <f t="shared" si="4"/>
        <v>0</v>
      </c>
      <c r="AH27" s="96">
        <f t="shared" si="5"/>
        <v>0</v>
      </c>
      <c r="AI27" s="96">
        <f t="shared" si="6"/>
        <v>0</v>
      </c>
      <c r="AJ27" s="96">
        <f t="shared" si="7"/>
        <v>0</v>
      </c>
      <c r="AK27" s="96">
        <f t="shared" si="8"/>
        <v>0</v>
      </c>
      <c r="AL27" s="96">
        <f t="shared" si="9"/>
        <v>0</v>
      </c>
      <c r="AM27" s="96">
        <f t="shared" si="10"/>
        <v>0</v>
      </c>
      <c r="AN27" s="96">
        <f t="shared" si="11"/>
        <v>0</v>
      </c>
      <c r="AO27" s="96">
        <f t="shared" si="12"/>
        <v>0</v>
      </c>
      <c r="AP27" s="96">
        <f t="shared" si="13"/>
        <v>0</v>
      </c>
      <c r="AQ27" s="96">
        <f t="shared" si="14"/>
        <v>0</v>
      </c>
      <c r="AR27" s="96">
        <f t="shared" si="15"/>
        <v>0</v>
      </c>
      <c r="AS27" s="96">
        <f t="shared" si="16"/>
        <v>0</v>
      </c>
      <c r="AT27" s="96">
        <f t="shared" si="17"/>
        <v>0</v>
      </c>
      <c r="AU27" s="96">
        <f t="shared" si="18"/>
        <v>0</v>
      </c>
      <c r="AV27" s="96">
        <f t="shared" si="19"/>
        <v>0</v>
      </c>
      <c r="AW27" s="96">
        <f t="shared" si="20"/>
        <v>0</v>
      </c>
      <c r="AX27" s="96">
        <f t="shared" si="21"/>
        <v>0</v>
      </c>
      <c r="AY27" s="96">
        <f t="shared" si="22"/>
        <v>0</v>
      </c>
      <c r="AZ27" s="96">
        <f t="shared" si="23"/>
        <v>0</v>
      </c>
      <c r="BA27" s="96">
        <f t="shared" si="24"/>
        <v>0</v>
      </c>
      <c r="BB27" s="96">
        <f t="shared" si="25"/>
        <v>0</v>
      </c>
      <c r="BC27" s="96">
        <f t="shared" si="26"/>
        <v>0</v>
      </c>
      <c r="BD27" s="96">
        <f t="shared" si="27"/>
        <v>0</v>
      </c>
      <c r="BE27" s="96">
        <f t="shared" si="28"/>
        <v>0</v>
      </c>
    </row>
    <row r="28" spans="1:57" ht="19.5" customHeight="1" thickBot="1">
      <c r="A28" s="205">
        <v>0</v>
      </c>
      <c r="B28" s="205">
        <v>0</v>
      </c>
      <c r="C28" s="205">
        <v>0</v>
      </c>
      <c r="D28" s="205">
        <v>0</v>
      </c>
      <c r="E28" s="205">
        <v>0</v>
      </c>
      <c r="F28" s="205">
        <v>0</v>
      </c>
      <c r="G28" s="205">
        <v>0</v>
      </c>
      <c r="H28" s="205">
        <v>0</v>
      </c>
      <c r="I28" s="205">
        <v>0</v>
      </c>
      <c r="J28" s="205">
        <v>0</v>
      </c>
      <c r="K28" s="205">
        <v>0</v>
      </c>
      <c r="L28" s="205">
        <v>0</v>
      </c>
      <c r="M28" s="205">
        <v>0</v>
      </c>
      <c r="N28" s="205">
        <v>0</v>
      </c>
      <c r="O28" s="205">
        <v>0</v>
      </c>
      <c r="P28" s="206">
        <v>0</v>
      </c>
      <c r="Q28" s="206">
        <v>0</v>
      </c>
      <c r="R28" s="206">
        <v>0</v>
      </c>
      <c r="S28" s="206">
        <v>0</v>
      </c>
      <c r="T28" s="206">
        <v>0</v>
      </c>
      <c r="U28" s="206">
        <v>0</v>
      </c>
      <c r="V28" s="206">
        <v>0</v>
      </c>
      <c r="W28" s="206">
        <v>0</v>
      </c>
      <c r="X28" s="206">
        <v>0</v>
      </c>
      <c r="Y28" s="206">
        <v>0</v>
      </c>
      <c r="Z28" s="206">
        <v>0</v>
      </c>
      <c r="AA28" s="206">
        <v>0</v>
      </c>
      <c r="AB28" s="206">
        <v>0</v>
      </c>
      <c r="AD28" s="96">
        <f t="shared" si="1"/>
        <v>0</v>
      </c>
      <c r="AE28" s="96">
        <f t="shared" si="2"/>
        <v>0</v>
      </c>
      <c r="AF28" s="96">
        <f t="shared" si="3"/>
        <v>0</v>
      </c>
      <c r="AG28" s="96">
        <f t="shared" si="4"/>
        <v>0</v>
      </c>
      <c r="AH28" s="96">
        <f t="shared" si="5"/>
        <v>0</v>
      </c>
      <c r="AI28" s="96">
        <f t="shared" si="6"/>
        <v>0</v>
      </c>
      <c r="AJ28" s="96">
        <f t="shared" si="7"/>
        <v>0</v>
      </c>
      <c r="AK28" s="96">
        <f t="shared" si="8"/>
        <v>0</v>
      </c>
      <c r="AL28" s="96">
        <f t="shared" si="9"/>
        <v>0</v>
      </c>
      <c r="AM28" s="96">
        <f t="shared" si="10"/>
        <v>0</v>
      </c>
      <c r="AN28" s="96">
        <f t="shared" si="11"/>
        <v>0</v>
      </c>
      <c r="AO28" s="96">
        <f t="shared" si="12"/>
        <v>0</v>
      </c>
      <c r="AP28" s="96">
        <f t="shared" si="13"/>
        <v>0</v>
      </c>
      <c r="AQ28" s="96">
        <f t="shared" si="14"/>
        <v>0</v>
      </c>
      <c r="AR28" s="96">
        <f t="shared" si="15"/>
        <v>0</v>
      </c>
      <c r="AS28" s="96">
        <f t="shared" si="16"/>
        <v>0</v>
      </c>
      <c r="AT28" s="96">
        <f t="shared" si="17"/>
        <v>0</v>
      </c>
      <c r="AU28" s="96">
        <f t="shared" si="18"/>
        <v>0</v>
      </c>
      <c r="AV28" s="96">
        <f t="shared" si="19"/>
        <v>0</v>
      </c>
      <c r="AW28" s="96">
        <f t="shared" si="20"/>
        <v>0</v>
      </c>
      <c r="AX28" s="96">
        <f t="shared" si="21"/>
        <v>0</v>
      </c>
      <c r="AY28" s="96">
        <f t="shared" si="22"/>
        <v>0</v>
      </c>
      <c r="AZ28" s="96">
        <f t="shared" si="23"/>
        <v>0</v>
      </c>
      <c r="BA28" s="96">
        <f t="shared" si="24"/>
        <v>0</v>
      </c>
      <c r="BB28" s="96">
        <f t="shared" si="25"/>
        <v>0</v>
      </c>
      <c r="BC28" s="96">
        <f t="shared" si="26"/>
        <v>0</v>
      </c>
      <c r="BD28" s="96">
        <f t="shared" si="27"/>
        <v>0</v>
      </c>
      <c r="BE28" s="96">
        <f t="shared" si="28"/>
        <v>0</v>
      </c>
    </row>
    <row r="31" spans="1:57" ht="17.25" thickBot="1"/>
    <row r="32" spans="1:57" ht="17.25" thickBot="1">
      <c r="A32" s="203">
        <v>0</v>
      </c>
    </row>
    <row r="33" spans="1:1" ht="17.25" thickBot="1">
      <c r="A33" s="203">
        <v>0</v>
      </c>
    </row>
    <row r="34" spans="1:1" ht="17.25" thickBot="1">
      <c r="A34" s="203">
        <v>0</v>
      </c>
    </row>
    <row r="35" spans="1:1" ht="17.25" thickBot="1">
      <c r="A35" s="203">
        <v>0</v>
      </c>
    </row>
    <row r="36" spans="1:1" ht="17.25" thickBot="1">
      <c r="A36" s="203">
        <v>0</v>
      </c>
    </row>
    <row r="37" spans="1:1" ht="17.25" thickBot="1">
      <c r="A37" s="203">
        <v>0</v>
      </c>
    </row>
    <row r="38" spans="1:1" ht="17.25" thickBot="1">
      <c r="A38" s="203">
        <v>0</v>
      </c>
    </row>
    <row r="39" spans="1:1" ht="17.25" thickBot="1">
      <c r="A39" s="203">
        <v>0</v>
      </c>
    </row>
    <row r="40" spans="1:1" ht="17.25" thickBot="1">
      <c r="A40" s="203">
        <v>0</v>
      </c>
    </row>
    <row r="41" spans="1:1" ht="17.25" thickBot="1">
      <c r="A41" s="203">
        <v>0</v>
      </c>
    </row>
    <row r="42" spans="1:1" ht="17.25" thickBot="1">
      <c r="A42" s="203">
        <v>0</v>
      </c>
    </row>
    <row r="43" spans="1:1" ht="17.25" thickBot="1">
      <c r="A43" s="203">
        <v>0</v>
      </c>
    </row>
    <row r="44" spans="1:1" ht="17.25" thickBot="1">
      <c r="A44" s="203">
        <v>0</v>
      </c>
    </row>
    <row r="45" spans="1:1" ht="17.25" thickBot="1">
      <c r="A45" s="203">
        <v>0</v>
      </c>
    </row>
    <row r="46" spans="1:1" ht="17.25" thickBot="1">
      <c r="A46" s="203">
        <v>0</v>
      </c>
    </row>
    <row r="47" spans="1:1" ht="17.25" thickBot="1">
      <c r="A47" s="201">
        <v>0</v>
      </c>
    </row>
    <row r="48" spans="1:1" ht="17.25" thickBot="1">
      <c r="A48" s="201">
        <v>0</v>
      </c>
    </row>
    <row r="49" spans="1:1" ht="17.25" thickBot="1">
      <c r="A49" s="201">
        <v>0</v>
      </c>
    </row>
    <row r="50" spans="1:1" ht="17.25" thickBot="1">
      <c r="A50" s="201">
        <v>0</v>
      </c>
    </row>
    <row r="51" spans="1:1" ht="17.25" thickBot="1">
      <c r="A51" s="201">
        <v>0</v>
      </c>
    </row>
    <row r="52" spans="1:1" ht="17.25" thickBot="1">
      <c r="A52" s="201">
        <v>0</v>
      </c>
    </row>
    <row r="53" spans="1:1" ht="17.25" thickBot="1">
      <c r="A53" s="201">
        <v>0</v>
      </c>
    </row>
    <row r="54" spans="1:1" ht="17.25" thickBot="1">
      <c r="A54" s="201">
        <v>0</v>
      </c>
    </row>
    <row r="55" spans="1:1" ht="17.25" thickBot="1">
      <c r="A55" s="201">
        <v>0</v>
      </c>
    </row>
    <row r="56" spans="1:1" ht="17.25" thickBot="1">
      <c r="A56" s="201">
        <v>0</v>
      </c>
    </row>
    <row r="57" spans="1:1" ht="17.25" thickBot="1">
      <c r="A57" s="201">
        <v>0</v>
      </c>
    </row>
    <row r="58" spans="1:1" ht="17.25" thickBot="1">
      <c r="A58" s="201">
        <v>0</v>
      </c>
    </row>
    <row r="59" spans="1:1" ht="17.25" thickBot="1">
      <c r="A59" s="201">
        <v>0</v>
      </c>
    </row>
    <row r="60" spans="1:1" ht="17.25" thickBot="1">
      <c r="A60" s="203">
        <v>0</v>
      </c>
    </row>
    <row r="61" spans="1:1" ht="17.25" thickBot="1">
      <c r="A61" s="203">
        <v>0</v>
      </c>
    </row>
    <row r="62" spans="1:1" ht="17.25" thickBot="1">
      <c r="A62" s="203">
        <v>0</v>
      </c>
    </row>
    <row r="63" spans="1:1" ht="17.25" thickBot="1">
      <c r="A63" s="203">
        <v>0</v>
      </c>
    </row>
    <row r="64" spans="1:1" ht="17.25" thickBot="1">
      <c r="A64" s="203">
        <v>0</v>
      </c>
    </row>
    <row r="65" spans="1:1" ht="17.25" thickBot="1">
      <c r="A65" s="203">
        <v>0</v>
      </c>
    </row>
    <row r="66" spans="1:1" ht="17.25" thickBot="1">
      <c r="A66" s="203">
        <v>0</v>
      </c>
    </row>
    <row r="67" spans="1:1" ht="17.25" thickBot="1">
      <c r="A67" s="203">
        <v>0</v>
      </c>
    </row>
    <row r="68" spans="1:1" ht="17.25" thickBot="1">
      <c r="A68" s="203">
        <v>0</v>
      </c>
    </row>
    <row r="69" spans="1:1" ht="17.25" thickBot="1">
      <c r="A69" s="203">
        <v>0</v>
      </c>
    </row>
    <row r="70" spans="1:1" ht="17.25" thickBot="1">
      <c r="A70" s="203">
        <v>0</v>
      </c>
    </row>
    <row r="71" spans="1:1" ht="17.25" thickBot="1">
      <c r="A71" s="203">
        <v>0</v>
      </c>
    </row>
    <row r="72" spans="1:1" ht="17.25" thickBot="1">
      <c r="A72" s="203">
        <v>0</v>
      </c>
    </row>
    <row r="73" spans="1:1" ht="17.25" thickBot="1">
      <c r="A73" s="203">
        <v>0</v>
      </c>
    </row>
    <row r="74" spans="1:1" ht="17.25" thickBot="1">
      <c r="A74" s="203">
        <v>0</v>
      </c>
    </row>
    <row r="75" spans="1:1" ht="17.25" thickBot="1">
      <c r="A75" s="201">
        <v>0</v>
      </c>
    </row>
    <row r="76" spans="1:1" ht="17.25" thickBot="1">
      <c r="A76" s="201">
        <v>0</v>
      </c>
    </row>
    <row r="77" spans="1:1" ht="17.25" thickBot="1">
      <c r="A77" s="201">
        <v>0</v>
      </c>
    </row>
    <row r="78" spans="1:1" ht="17.25" thickBot="1">
      <c r="A78" s="201">
        <v>0</v>
      </c>
    </row>
    <row r="79" spans="1:1" ht="17.25" thickBot="1">
      <c r="A79" s="201">
        <v>0</v>
      </c>
    </row>
    <row r="80" spans="1:1" ht="17.25" thickBot="1">
      <c r="A80" s="201">
        <v>0</v>
      </c>
    </row>
    <row r="81" spans="1:1" ht="17.25" thickBot="1">
      <c r="A81" s="201">
        <v>0</v>
      </c>
    </row>
    <row r="82" spans="1:1" ht="17.25" thickBot="1">
      <c r="A82" s="201">
        <v>0</v>
      </c>
    </row>
    <row r="83" spans="1:1" ht="17.25" thickBot="1">
      <c r="A83" s="201">
        <v>0</v>
      </c>
    </row>
    <row r="84" spans="1:1" ht="17.25" thickBot="1">
      <c r="A84" s="201">
        <v>0</v>
      </c>
    </row>
    <row r="85" spans="1:1" ht="17.25" thickBot="1">
      <c r="A85" s="201">
        <v>0</v>
      </c>
    </row>
    <row r="86" spans="1:1" ht="17.25" thickBot="1">
      <c r="A86" s="201">
        <v>0</v>
      </c>
    </row>
    <row r="87" spans="1:1" ht="17.25" thickBot="1">
      <c r="A87" s="201">
        <v>0</v>
      </c>
    </row>
    <row r="88" spans="1:1" ht="17.25" thickBot="1">
      <c r="A88" s="203">
        <v>0</v>
      </c>
    </row>
    <row r="89" spans="1:1" ht="17.25" thickBot="1">
      <c r="A89" s="203">
        <v>0</v>
      </c>
    </row>
    <row r="90" spans="1:1" ht="17.25" thickBot="1">
      <c r="A90" s="203">
        <v>0</v>
      </c>
    </row>
    <row r="91" spans="1:1" ht="17.25" thickBot="1">
      <c r="A91" s="203">
        <v>0</v>
      </c>
    </row>
    <row r="92" spans="1:1" ht="17.25" thickBot="1">
      <c r="A92" s="203">
        <v>0</v>
      </c>
    </row>
    <row r="93" spans="1:1" ht="17.25" thickBot="1">
      <c r="A93" s="203">
        <v>0</v>
      </c>
    </row>
    <row r="94" spans="1:1" ht="17.25" thickBot="1">
      <c r="A94" s="203">
        <v>0</v>
      </c>
    </row>
    <row r="95" spans="1:1" ht="17.25" thickBot="1">
      <c r="A95" s="203">
        <v>0</v>
      </c>
    </row>
    <row r="96" spans="1:1" ht="17.25" thickBot="1">
      <c r="A96" s="203">
        <v>0</v>
      </c>
    </row>
    <row r="97" spans="1:1" ht="17.25" thickBot="1">
      <c r="A97" s="203">
        <v>0</v>
      </c>
    </row>
    <row r="98" spans="1:1" ht="17.25" thickBot="1">
      <c r="A98" s="203">
        <v>0</v>
      </c>
    </row>
    <row r="99" spans="1:1" ht="17.25" thickBot="1">
      <c r="A99" s="203">
        <v>0</v>
      </c>
    </row>
    <row r="100" spans="1:1" ht="17.25" thickBot="1">
      <c r="A100" s="203">
        <v>0</v>
      </c>
    </row>
    <row r="101" spans="1:1" ht="17.25" thickBot="1">
      <c r="A101" s="203">
        <v>0</v>
      </c>
    </row>
    <row r="102" spans="1:1" ht="17.25" thickBot="1">
      <c r="A102" s="203">
        <v>0</v>
      </c>
    </row>
    <row r="103" spans="1:1" ht="17.25" thickBot="1">
      <c r="A103" s="201">
        <v>0</v>
      </c>
    </row>
    <row r="104" spans="1:1" ht="17.25" thickBot="1">
      <c r="A104" s="201">
        <v>0</v>
      </c>
    </row>
    <row r="105" spans="1:1" ht="17.25" thickBot="1">
      <c r="A105" s="201">
        <v>0</v>
      </c>
    </row>
    <row r="106" spans="1:1" ht="17.25" thickBot="1">
      <c r="A106" s="201">
        <v>0</v>
      </c>
    </row>
    <row r="107" spans="1:1" ht="17.25" thickBot="1">
      <c r="A107" s="201">
        <v>0</v>
      </c>
    </row>
    <row r="108" spans="1:1" ht="17.25" thickBot="1">
      <c r="A108" s="201">
        <v>0</v>
      </c>
    </row>
    <row r="109" spans="1:1" ht="17.25" thickBot="1">
      <c r="A109" s="201">
        <v>0</v>
      </c>
    </row>
    <row r="110" spans="1:1" ht="17.25" thickBot="1">
      <c r="A110" s="201">
        <v>0</v>
      </c>
    </row>
    <row r="111" spans="1:1" ht="17.25" thickBot="1">
      <c r="A111" s="201">
        <v>0</v>
      </c>
    </row>
    <row r="112" spans="1:1" ht="17.25" thickBot="1">
      <c r="A112" s="201">
        <v>0</v>
      </c>
    </row>
    <row r="113" spans="1:1" ht="17.25" thickBot="1">
      <c r="A113" s="201">
        <v>0</v>
      </c>
    </row>
    <row r="114" spans="1:1" ht="17.25" thickBot="1">
      <c r="A114" s="201">
        <v>0</v>
      </c>
    </row>
    <row r="115" spans="1:1" ht="17.25" thickBot="1">
      <c r="A115" s="201">
        <v>0</v>
      </c>
    </row>
    <row r="116" spans="1:1" ht="17.25" thickBot="1">
      <c r="A116" s="204">
        <v>0</v>
      </c>
    </row>
    <row r="117" spans="1:1" ht="17.25" thickBot="1">
      <c r="A117" s="204">
        <v>0</v>
      </c>
    </row>
    <row r="118" spans="1:1" ht="17.25" thickBot="1">
      <c r="A118" s="204">
        <v>0</v>
      </c>
    </row>
    <row r="119" spans="1:1" ht="17.25" thickBot="1">
      <c r="A119" s="204">
        <v>0</v>
      </c>
    </row>
    <row r="120" spans="1:1" ht="17.25" thickBot="1">
      <c r="A120" s="204">
        <v>0</v>
      </c>
    </row>
    <row r="121" spans="1:1" ht="17.25" thickBot="1">
      <c r="A121" s="204">
        <v>0</v>
      </c>
    </row>
    <row r="122" spans="1:1" ht="17.25" thickBot="1">
      <c r="A122" s="204">
        <v>0</v>
      </c>
    </row>
    <row r="123" spans="1:1" ht="17.25" thickBot="1">
      <c r="A123" s="204">
        <v>0</v>
      </c>
    </row>
    <row r="124" spans="1:1" ht="17.25" thickBot="1">
      <c r="A124" s="204">
        <v>0</v>
      </c>
    </row>
    <row r="125" spans="1:1" ht="17.25" thickBot="1">
      <c r="A125" s="204">
        <v>0</v>
      </c>
    </row>
    <row r="126" spans="1:1" ht="17.25" thickBot="1">
      <c r="A126" s="204">
        <v>255</v>
      </c>
    </row>
    <row r="127" spans="1:1" ht="17.25" thickBot="1">
      <c r="A127" s="204">
        <v>255</v>
      </c>
    </row>
    <row r="128" spans="1:1" ht="17.25" thickBot="1">
      <c r="A128" s="204">
        <v>255</v>
      </c>
    </row>
    <row r="129" spans="1:1" ht="17.25" thickBot="1">
      <c r="A129" s="204">
        <v>255</v>
      </c>
    </row>
    <row r="130" spans="1:1" ht="17.25" thickBot="1">
      <c r="A130" s="204">
        <v>124</v>
      </c>
    </row>
    <row r="131" spans="1:1" ht="17.25" thickBot="1">
      <c r="A131" s="202">
        <v>255</v>
      </c>
    </row>
    <row r="132" spans="1:1" ht="17.25" thickBot="1">
      <c r="A132" s="202">
        <v>255</v>
      </c>
    </row>
    <row r="133" spans="1:1" ht="17.25" thickBot="1">
      <c r="A133" s="202">
        <v>255</v>
      </c>
    </row>
    <row r="134" spans="1:1" ht="17.25" thickBot="1">
      <c r="A134" s="202">
        <v>255</v>
      </c>
    </row>
    <row r="135" spans="1:1" ht="17.25" thickBot="1">
      <c r="A135" s="202">
        <v>255</v>
      </c>
    </row>
    <row r="136" spans="1:1" ht="17.25" thickBot="1">
      <c r="A136" s="202">
        <v>0</v>
      </c>
    </row>
    <row r="137" spans="1:1" ht="17.25" thickBot="1">
      <c r="A137" s="202">
        <v>0</v>
      </c>
    </row>
    <row r="138" spans="1:1" ht="17.25" thickBot="1">
      <c r="A138" s="202">
        <v>0</v>
      </c>
    </row>
    <row r="139" spans="1:1" ht="17.25" thickBot="1">
      <c r="A139" s="202">
        <v>0</v>
      </c>
    </row>
    <row r="140" spans="1:1" ht="17.25" thickBot="1">
      <c r="A140" s="202">
        <v>0</v>
      </c>
    </row>
    <row r="141" spans="1:1" ht="17.25" thickBot="1">
      <c r="A141" s="202">
        <v>0</v>
      </c>
    </row>
    <row r="142" spans="1:1" ht="17.25" thickBot="1">
      <c r="A142" s="202">
        <v>0</v>
      </c>
    </row>
    <row r="143" spans="1:1" ht="17.25" thickBot="1">
      <c r="A143" s="202">
        <v>0</v>
      </c>
    </row>
    <row r="144" spans="1:1">
      <c r="A144" s="180" t="s">
        <v>642</v>
      </c>
    </row>
    <row r="145" spans="1:1">
      <c r="A145" s="180" t="s">
        <v>643</v>
      </c>
    </row>
    <row r="146" spans="1:1">
      <c r="A146" s="180" t="s">
        <v>644</v>
      </c>
    </row>
    <row r="147" spans="1:1" ht="17.25" thickBot="1">
      <c r="A147" s="180" t="s">
        <v>645</v>
      </c>
    </row>
    <row r="148" spans="1:1" ht="17.25" thickBot="1">
      <c r="A148" s="205">
        <v>0</v>
      </c>
    </row>
    <row r="149" spans="1:1" ht="17.25" thickBot="1">
      <c r="A149" s="205">
        <v>0</v>
      </c>
    </row>
    <row r="150" spans="1:1" ht="17.25" thickBot="1">
      <c r="A150" s="205">
        <v>0</v>
      </c>
    </row>
    <row r="151" spans="1:1" ht="17.25" thickBot="1">
      <c r="A151" s="205">
        <v>0</v>
      </c>
    </row>
    <row r="152" spans="1:1" ht="17.25" thickBot="1">
      <c r="A152" s="205">
        <v>0</v>
      </c>
    </row>
    <row r="153" spans="1:1" ht="17.25" thickBot="1">
      <c r="A153" s="205">
        <v>0</v>
      </c>
    </row>
    <row r="154" spans="1:1" ht="17.25" thickBot="1">
      <c r="A154" s="205">
        <v>0</v>
      </c>
    </row>
    <row r="155" spans="1:1" ht="17.25" thickBot="1">
      <c r="A155" s="205">
        <v>0</v>
      </c>
    </row>
    <row r="156" spans="1:1" ht="17.25" thickBot="1">
      <c r="A156" s="205">
        <v>0</v>
      </c>
    </row>
    <row r="157" spans="1:1" ht="17.25" thickBot="1">
      <c r="A157" s="205">
        <v>0</v>
      </c>
    </row>
    <row r="158" spans="1:1" ht="17.25" thickBot="1">
      <c r="A158" s="205">
        <v>0</v>
      </c>
    </row>
    <row r="159" spans="1:1" ht="17.25" thickBot="1">
      <c r="A159" s="205">
        <v>0</v>
      </c>
    </row>
    <row r="160" spans="1:1" ht="17.25" thickBot="1">
      <c r="A160" s="205">
        <v>0</v>
      </c>
    </row>
    <row r="161" spans="1:1" ht="17.25" thickBot="1">
      <c r="A161" s="205">
        <v>0</v>
      </c>
    </row>
    <row r="162" spans="1:1" ht="17.25" thickBot="1">
      <c r="A162" s="205">
        <v>0</v>
      </c>
    </row>
    <row r="163" spans="1:1" ht="17.25" thickBot="1">
      <c r="A163" s="206">
        <v>0</v>
      </c>
    </row>
    <row r="164" spans="1:1" ht="17.25" thickBot="1">
      <c r="A164" s="206">
        <v>0</v>
      </c>
    </row>
    <row r="165" spans="1:1" ht="17.25" thickBot="1">
      <c r="A165" s="206">
        <v>0</v>
      </c>
    </row>
    <row r="166" spans="1:1" ht="17.25" thickBot="1">
      <c r="A166" s="206">
        <v>0</v>
      </c>
    </row>
    <row r="167" spans="1:1" ht="17.25" thickBot="1">
      <c r="A167" s="206">
        <v>0</v>
      </c>
    </row>
    <row r="168" spans="1:1" ht="17.25" thickBot="1">
      <c r="A168" s="206">
        <v>0</v>
      </c>
    </row>
    <row r="169" spans="1:1" ht="17.25" thickBot="1">
      <c r="A169" s="206">
        <v>0</v>
      </c>
    </row>
    <row r="170" spans="1:1" ht="17.25" thickBot="1">
      <c r="A170" s="206">
        <v>0</v>
      </c>
    </row>
    <row r="171" spans="1:1" ht="17.25" thickBot="1">
      <c r="A171" s="206">
        <v>0</v>
      </c>
    </row>
    <row r="172" spans="1:1" ht="17.25" thickBot="1">
      <c r="A172" s="206">
        <v>0</v>
      </c>
    </row>
    <row r="173" spans="1:1" ht="17.25" thickBot="1">
      <c r="A173" s="206">
        <v>0</v>
      </c>
    </row>
    <row r="174" spans="1:1" ht="17.25" thickBot="1">
      <c r="A174" s="206">
        <v>0</v>
      </c>
    </row>
    <row r="175" spans="1:1" ht="17.25" thickBot="1">
      <c r="A175" s="206">
        <v>0</v>
      </c>
    </row>
  </sheetData>
  <phoneticPr fontId="5" type="noConversion"/>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A7:R50"/>
  <sheetViews>
    <sheetView tabSelected="1" zoomScaleNormal="100" workbookViewId="0">
      <selection activeCell="Q6" sqref="Q6"/>
    </sheetView>
  </sheetViews>
  <sheetFormatPr defaultRowHeight="16.5"/>
  <sheetData>
    <row r="7" spans="12:17">
      <c r="M7" s="125"/>
    </row>
    <row r="9" spans="12:17" ht="18">
      <c r="L9" s="124" t="s">
        <v>339</v>
      </c>
    </row>
    <row r="10" spans="12:17">
      <c r="L10" s="180"/>
      <c r="N10" t="s">
        <v>389</v>
      </c>
    </row>
    <row r="11" spans="12:17" ht="18">
      <c r="L11" s="124" t="s">
        <v>340</v>
      </c>
      <c r="N11" s="1"/>
      <c r="P11" s="180"/>
    </row>
    <row r="12" spans="12:17">
      <c r="L12" s="180"/>
      <c r="N12" s="1"/>
      <c r="O12" s="180"/>
    </row>
    <row r="13" spans="12:17">
      <c r="L13" s="180"/>
      <c r="N13" s="1"/>
      <c r="P13" s="126"/>
    </row>
    <row r="14" spans="12:17" ht="18">
      <c r="L14" s="124" t="s">
        <v>400</v>
      </c>
      <c r="N14" s="1"/>
    </row>
    <row r="15" spans="12:17">
      <c r="L15" s="180"/>
      <c r="N15" s="1"/>
      <c r="P15" s="180"/>
    </row>
    <row r="16" spans="12:17">
      <c r="L16" s="180"/>
      <c r="N16" s="1"/>
      <c r="Q16" s="1"/>
    </row>
    <row r="17" spans="12:18">
      <c r="L17" s="199"/>
      <c r="N17" s="1"/>
      <c r="Q17" s="1"/>
    </row>
    <row r="18" spans="12:18">
      <c r="N18" s="1"/>
      <c r="Q18" s="1"/>
      <c r="R18">
        <v>0</v>
      </c>
    </row>
    <row r="19" spans="12:18">
      <c r="N19" s="1"/>
      <c r="Q19" s="1"/>
      <c r="R19">
        <v>1</v>
      </c>
    </row>
    <row r="20" spans="12:18">
      <c r="N20" s="1"/>
      <c r="Q20" s="1"/>
    </row>
    <row r="21" spans="12:18">
      <c r="N21" s="1"/>
      <c r="Q21" s="1"/>
    </row>
    <row r="22" spans="12:18">
      <c r="N22" s="1"/>
      <c r="Q22" s="1"/>
      <c r="R22" s="518"/>
    </row>
    <row r="23" spans="12:18">
      <c r="N23" s="1"/>
      <c r="Q23" s="1"/>
      <c r="R23" s="518"/>
    </row>
    <row r="24" spans="12:18">
      <c r="N24" s="1"/>
      <c r="Q24" s="1"/>
      <c r="R24" s="198">
        <v>9</v>
      </c>
    </row>
    <row r="25" spans="12:18">
      <c r="N25" s="1"/>
    </row>
    <row r="26" spans="12:18">
      <c r="N26">
        <v>512</v>
      </c>
    </row>
    <row r="27" spans="12:18" ht="18">
      <c r="L27" s="124" t="s">
        <v>641</v>
      </c>
    </row>
    <row r="28" spans="12:18">
      <c r="L28" s="118"/>
    </row>
    <row r="29" spans="12:18">
      <c r="L29" s="118"/>
    </row>
    <row r="30" spans="12:18">
      <c r="L30" s="118">
        <v>784</v>
      </c>
      <c r="N30">
        <v>512</v>
      </c>
      <c r="Q30">
        <v>10</v>
      </c>
    </row>
    <row r="31" spans="12:18">
      <c r="L31" s="118"/>
      <c r="M31">
        <f>L30*N30</f>
        <v>401408</v>
      </c>
      <c r="P31">
        <f>N30*Q30</f>
        <v>5120</v>
      </c>
    </row>
    <row r="32" spans="12:18">
      <c r="L32" s="118"/>
      <c r="N32">
        <f>M31+N30</f>
        <v>401920</v>
      </c>
      <c r="Q32">
        <f>P31+Q30</f>
        <v>5130</v>
      </c>
    </row>
    <row r="33" spans="1:16">
      <c r="L33" s="118"/>
    </row>
    <row r="34" spans="1:16">
      <c r="L34" s="118"/>
      <c r="O34" s="540">
        <f>N32+Q32</f>
        <v>407050</v>
      </c>
      <c r="P34" s="540"/>
    </row>
    <row r="36" spans="1:16">
      <c r="L36" s="163" t="s">
        <v>650</v>
      </c>
    </row>
    <row r="37" spans="1:16">
      <c r="B37" s="180">
        <v>1</v>
      </c>
      <c r="C37" s="180"/>
      <c r="D37" s="180"/>
      <c r="E37" s="180"/>
      <c r="F37" s="180"/>
      <c r="G37" s="180"/>
      <c r="H37" s="180"/>
      <c r="I37" s="180"/>
      <c r="J37" s="180">
        <v>784</v>
      </c>
      <c r="K37" t="s">
        <v>649</v>
      </c>
    </row>
    <row r="38" spans="1:16">
      <c r="A38" t="s">
        <v>646</v>
      </c>
      <c r="B38" s="186"/>
      <c r="C38" s="186"/>
      <c r="D38" s="186"/>
      <c r="E38" s="186"/>
      <c r="F38" s="186"/>
      <c r="G38" s="186"/>
      <c r="H38" s="186"/>
      <c r="I38" s="186"/>
      <c r="J38" s="186"/>
      <c r="K38" s="180">
        <v>5</v>
      </c>
      <c r="M38" s="151" t="s">
        <v>651</v>
      </c>
    </row>
    <row r="39" spans="1:16">
      <c r="A39" t="s">
        <v>647</v>
      </c>
      <c r="K39" s="180">
        <v>0</v>
      </c>
    </row>
    <row r="40" spans="1:16">
      <c r="K40" s="180"/>
    </row>
    <row r="41" spans="1:16">
      <c r="K41" s="180"/>
    </row>
    <row r="42" spans="1:16">
      <c r="K42" s="180"/>
    </row>
    <row r="43" spans="1:16">
      <c r="A43" t="s">
        <v>648</v>
      </c>
      <c r="B43" s="186"/>
      <c r="C43" s="186"/>
      <c r="D43" s="186"/>
      <c r="E43" s="186"/>
      <c r="F43" s="186"/>
      <c r="G43" s="186"/>
      <c r="H43" s="186"/>
      <c r="I43" s="186"/>
      <c r="J43" s="186"/>
      <c r="K43" s="180">
        <v>8</v>
      </c>
    </row>
    <row r="47" spans="1:16">
      <c r="A47" t="s">
        <v>652</v>
      </c>
      <c r="K47" s="180" t="s">
        <v>653</v>
      </c>
    </row>
    <row r="48" spans="1:16">
      <c r="A48">
        <v>1</v>
      </c>
      <c r="B48" s="207"/>
      <c r="C48" s="207"/>
      <c r="D48" s="207"/>
      <c r="E48" s="207"/>
      <c r="F48" s="207"/>
      <c r="G48" s="207"/>
      <c r="H48" s="207"/>
      <c r="I48" s="207"/>
      <c r="J48" s="207"/>
      <c r="K48" s="58">
        <v>7</v>
      </c>
    </row>
    <row r="49" spans="1:11">
      <c r="B49" s="207"/>
      <c r="C49" s="207"/>
      <c r="D49" s="207"/>
      <c r="E49" s="207"/>
      <c r="F49" s="207"/>
      <c r="G49" s="207"/>
      <c r="H49" s="207"/>
      <c r="I49" s="207"/>
      <c r="J49" s="207"/>
      <c r="K49" s="58"/>
    </row>
    <row r="50" spans="1:11">
      <c r="A50">
        <v>10000</v>
      </c>
      <c r="B50" s="207"/>
      <c r="C50" s="207"/>
      <c r="D50" s="207"/>
      <c r="E50" s="207"/>
      <c r="F50" s="207"/>
      <c r="G50" s="207"/>
      <c r="H50" s="207"/>
      <c r="I50" s="207"/>
      <c r="J50" s="207"/>
      <c r="K50" s="58">
        <v>6</v>
      </c>
    </row>
  </sheetData>
  <mergeCells count="2">
    <mergeCell ref="R22:R23"/>
    <mergeCell ref="O34:P34"/>
  </mergeCells>
  <phoneticPr fontId="5" type="noConversion"/>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A7:S50"/>
  <sheetViews>
    <sheetView zoomScaleNormal="100" workbookViewId="0">
      <selection activeCell="J22" sqref="J22"/>
    </sheetView>
  </sheetViews>
  <sheetFormatPr defaultRowHeight="16.5"/>
  <sheetData>
    <row r="7" spans="12:18">
      <c r="M7" s="125"/>
    </row>
    <row r="9" spans="12:18" ht="18">
      <c r="L9" s="124" t="s">
        <v>339</v>
      </c>
    </row>
    <row r="10" spans="12:18">
      <c r="L10" s="341"/>
      <c r="N10" t="s">
        <v>389</v>
      </c>
    </row>
    <row r="11" spans="12:18" ht="18">
      <c r="L11" s="124" t="s">
        <v>340</v>
      </c>
      <c r="N11" s="1"/>
      <c r="Q11" s="341"/>
    </row>
    <row r="12" spans="12:18">
      <c r="L12" s="341"/>
      <c r="N12" s="1"/>
      <c r="O12" s="341"/>
      <c r="P12" s="341"/>
    </row>
    <row r="13" spans="12:18">
      <c r="L13" s="341"/>
      <c r="N13" s="1"/>
      <c r="Q13" s="126"/>
    </row>
    <row r="14" spans="12:18" ht="18">
      <c r="L14" s="124" t="s">
        <v>1817</v>
      </c>
      <c r="N14" s="1"/>
    </row>
    <row r="15" spans="12:18">
      <c r="L15" s="341"/>
      <c r="N15" s="1"/>
      <c r="Q15" s="341"/>
    </row>
    <row r="16" spans="12:18">
      <c r="L16" s="341"/>
      <c r="N16" s="1"/>
      <c r="P16" s="1"/>
      <c r="R16" s="1"/>
    </row>
    <row r="17" spans="6:19">
      <c r="L17" s="199"/>
      <c r="N17" s="1"/>
      <c r="P17" s="1"/>
      <c r="R17" s="1"/>
    </row>
    <row r="18" spans="6:19">
      <c r="N18" s="1"/>
      <c r="P18" s="1"/>
      <c r="R18" s="1"/>
      <c r="S18">
        <v>0</v>
      </c>
    </row>
    <row r="19" spans="6:19">
      <c r="N19" s="1"/>
      <c r="P19" s="1"/>
      <c r="R19" s="1"/>
      <c r="S19">
        <v>1</v>
      </c>
    </row>
    <row r="20" spans="6:19">
      <c r="N20" s="1"/>
      <c r="P20" s="1"/>
      <c r="R20" s="1"/>
    </row>
    <row r="21" spans="6:19">
      <c r="N21" s="1"/>
      <c r="P21" s="1"/>
      <c r="R21" s="1"/>
    </row>
    <row r="22" spans="6:19">
      <c r="N22" s="1"/>
      <c r="P22" s="1"/>
      <c r="R22" s="1"/>
      <c r="S22" s="518"/>
    </row>
    <row r="23" spans="6:19">
      <c r="N23" s="1"/>
      <c r="P23" s="1"/>
      <c r="R23" s="1"/>
      <c r="S23" s="518"/>
    </row>
    <row r="24" spans="6:19">
      <c r="N24" s="1"/>
      <c r="P24" s="1"/>
      <c r="R24" s="1"/>
      <c r="S24" s="198">
        <v>9</v>
      </c>
    </row>
    <row r="25" spans="6:19">
      <c r="N25" s="1"/>
    </row>
    <row r="26" spans="6:19">
      <c r="N26">
        <v>1024</v>
      </c>
      <c r="P26">
        <v>512</v>
      </c>
      <c r="R26">
        <v>512</v>
      </c>
    </row>
    <row r="27" spans="6:19" ht="18">
      <c r="L27" s="124" t="s">
        <v>1818</v>
      </c>
    </row>
    <row r="28" spans="6:19">
      <c r="L28" s="342"/>
    </row>
    <row r="29" spans="6:19">
      <c r="L29" s="342"/>
    </row>
    <row r="30" spans="6:19">
      <c r="F30">
        <v>32</v>
      </c>
      <c r="G30">
        <v>32</v>
      </c>
      <c r="H30">
        <v>3</v>
      </c>
      <c r="I30">
        <f>F30*G30*H30</f>
        <v>3072</v>
      </c>
      <c r="L30" s="342">
        <v>3072</v>
      </c>
    </row>
    <row r="31" spans="6:19">
      <c r="L31" s="342"/>
      <c r="M31">
        <f>(L30+1)*N26</f>
        <v>3146752</v>
      </c>
      <c r="O31">
        <f>(N26+1)*P26</f>
        <v>524800</v>
      </c>
      <c r="Q31">
        <f>(P26+1)*R26</f>
        <v>262656</v>
      </c>
      <c r="S31">
        <f>(R26+1)*10</f>
        <v>5130</v>
      </c>
    </row>
    <row r="32" spans="6:19">
      <c r="L32" s="342"/>
    </row>
    <row r="33" spans="1:17">
      <c r="L33" s="342"/>
    </row>
    <row r="34" spans="1:17">
      <c r="L34" s="342"/>
      <c r="O34" s="540">
        <f>M31+O31+Q31+S31</f>
        <v>3939338</v>
      </c>
      <c r="P34" s="540"/>
      <c r="Q34" s="540"/>
    </row>
    <row r="36" spans="1:17">
      <c r="L36" s="163" t="s">
        <v>650</v>
      </c>
    </row>
    <row r="37" spans="1:17">
      <c r="B37" s="341">
        <v>1</v>
      </c>
      <c r="C37" s="341"/>
      <c r="D37" s="341"/>
      <c r="E37" s="341"/>
      <c r="F37" s="341"/>
      <c r="G37" s="341"/>
      <c r="H37" s="341"/>
      <c r="I37" s="341"/>
      <c r="J37" s="341">
        <v>3072</v>
      </c>
      <c r="K37" t="s">
        <v>649</v>
      </c>
    </row>
    <row r="38" spans="1:17">
      <c r="A38" t="s">
        <v>646</v>
      </c>
      <c r="B38" s="186"/>
      <c r="C38" s="186"/>
      <c r="D38" s="186"/>
      <c r="E38" s="186"/>
      <c r="F38" s="186"/>
      <c r="G38" s="186"/>
      <c r="H38" s="186"/>
      <c r="I38" s="186"/>
      <c r="J38" s="186"/>
      <c r="K38" s="341" t="s">
        <v>1815</v>
      </c>
      <c r="M38" s="151" t="s">
        <v>651</v>
      </c>
    </row>
    <row r="39" spans="1:17">
      <c r="A39" t="s">
        <v>647</v>
      </c>
      <c r="K39" s="341" t="s">
        <v>1816</v>
      </c>
    </row>
    <row r="40" spans="1:17">
      <c r="K40" s="341"/>
    </row>
    <row r="41" spans="1:17">
      <c r="K41" s="341"/>
    </row>
    <row r="42" spans="1:17">
      <c r="K42" s="341"/>
    </row>
    <row r="43" spans="1:17">
      <c r="A43" t="s">
        <v>1814</v>
      </c>
      <c r="B43" s="186"/>
      <c r="C43" s="186"/>
      <c r="D43" s="186"/>
      <c r="E43" s="186"/>
      <c r="F43" s="186"/>
      <c r="G43" s="186"/>
      <c r="H43" s="186"/>
      <c r="I43" s="186"/>
      <c r="J43" s="186"/>
      <c r="K43" s="341"/>
    </row>
    <row r="47" spans="1:17">
      <c r="A47" t="s">
        <v>652</v>
      </c>
      <c r="K47" s="341" t="s">
        <v>89</v>
      </c>
    </row>
    <row r="48" spans="1:17">
      <c r="A48">
        <v>1</v>
      </c>
      <c r="B48" s="207"/>
      <c r="C48" s="207"/>
      <c r="D48" s="207"/>
      <c r="E48" s="207"/>
      <c r="F48" s="207"/>
      <c r="G48" s="207"/>
      <c r="H48" s="207"/>
      <c r="I48" s="207"/>
      <c r="J48" s="207"/>
      <c r="K48" s="58"/>
    </row>
    <row r="49" spans="1:11">
      <c r="B49" s="207"/>
      <c r="C49" s="207"/>
      <c r="D49" s="207"/>
      <c r="E49" s="207"/>
      <c r="F49" s="207"/>
      <c r="G49" s="207"/>
      <c r="H49" s="207"/>
      <c r="I49" s="207"/>
      <c r="J49" s="207"/>
      <c r="K49" s="58"/>
    </row>
    <row r="50" spans="1:11">
      <c r="A50">
        <v>10000</v>
      </c>
      <c r="B50" s="207"/>
      <c r="C50" s="207"/>
      <c r="D50" s="207"/>
      <c r="E50" s="207"/>
      <c r="F50" s="207"/>
      <c r="G50" s="207"/>
      <c r="H50" s="207"/>
      <c r="I50" s="207"/>
      <c r="J50" s="207"/>
      <c r="K50" s="58"/>
    </row>
  </sheetData>
  <mergeCells count="2">
    <mergeCell ref="S22:S23"/>
    <mergeCell ref="O34:Q34"/>
  </mergeCells>
  <phoneticPr fontId="5" type="noConversion"/>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dimension ref="A1:AQ57"/>
  <sheetViews>
    <sheetView zoomScale="115" zoomScaleNormal="115" workbookViewId="0">
      <selection activeCell="X20" sqref="X20"/>
    </sheetView>
  </sheetViews>
  <sheetFormatPr defaultRowHeight="16.5"/>
  <cols>
    <col min="15" max="17" width="3.875" customWidth="1"/>
    <col min="18" max="20" width="5.25" customWidth="1"/>
    <col min="21" max="21" width="4.5" customWidth="1"/>
    <col min="22" max="25" width="3.625" customWidth="1"/>
    <col min="26" max="26" width="8.125" customWidth="1"/>
    <col min="27" max="28" width="5.5" customWidth="1"/>
    <col min="29" max="32" width="4.5" customWidth="1"/>
    <col min="35" max="35" width="4.75" customWidth="1"/>
  </cols>
  <sheetData>
    <row r="1" spans="10:43">
      <c r="N1" t="s">
        <v>675</v>
      </c>
    </row>
    <row r="2" spans="10:43">
      <c r="N2" s="129"/>
    </row>
    <row r="3" spans="10:43">
      <c r="N3" s="129" t="s">
        <v>676</v>
      </c>
    </row>
    <row r="4" spans="10:43">
      <c r="J4" t="s">
        <v>659</v>
      </c>
      <c r="N4" s="129" t="s">
        <v>677</v>
      </c>
      <c r="U4" t="s">
        <v>678</v>
      </c>
      <c r="Z4" s="127">
        <f>288+32</f>
        <v>320</v>
      </c>
    </row>
    <row r="5" spans="10:43">
      <c r="K5" t="s">
        <v>660</v>
      </c>
      <c r="N5" s="129" t="s">
        <v>2791</v>
      </c>
      <c r="O5" s="529" t="s">
        <v>670</v>
      </c>
      <c r="P5" s="529"/>
      <c r="Q5" s="529"/>
    </row>
    <row r="6" spans="10:43">
      <c r="O6" s="208"/>
      <c r="P6" s="208"/>
      <c r="Q6" s="208"/>
      <c r="U6" s="529" t="s">
        <v>655</v>
      </c>
      <c r="V6" s="529"/>
      <c r="W6" s="529"/>
      <c r="X6" s="94"/>
      <c r="Y6" s="94"/>
      <c r="Z6" s="94"/>
      <c r="AA6" s="94"/>
      <c r="AB6" s="94"/>
      <c r="AC6" s="94"/>
      <c r="AD6" s="94"/>
      <c r="AE6" s="94"/>
      <c r="AF6" s="94"/>
    </row>
    <row r="7" spans="10:43">
      <c r="L7" s="125"/>
      <c r="O7" s="208"/>
      <c r="P7" s="208"/>
      <c r="Q7" s="208"/>
      <c r="R7" s="541"/>
      <c r="S7" s="541"/>
      <c r="T7" s="541"/>
      <c r="U7" s="208"/>
      <c r="V7" s="208"/>
      <c r="W7" s="208"/>
      <c r="X7" s="12"/>
      <c r="Y7" s="12"/>
      <c r="Z7" s="12"/>
      <c r="AA7" s="12"/>
      <c r="AB7" s="12"/>
      <c r="AC7" s="12"/>
      <c r="AD7" s="12"/>
      <c r="AE7" s="12"/>
      <c r="AF7" s="12"/>
    </row>
    <row r="8" spans="10:43">
      <c r="O8" s="208"/>
      <c r="P8" s="208"/>
      <c r="Q8" s="208"/>
      <c r="R8" s="12"/>
      <c r="S8" s="12"/>
      <c r="T8" s="12"/>
      <c r="U8" s="208"/>
      <c r="V8" s="208"/>
      <c r="W8" s="208"/>
      <c r="X8" s="12"/>
      <c r="Y8" s="12"/>
      <c r="Z8" s="12"/>
      <c r="AA8" s="12"/>
      <c r="AB8" s="12"/>
      <c r="AC8" s="12"/>
      <c r="AD8" s="12"/>
      <c r="AE8" s="12"/>
      <c r="AF8" s="12"/>
    </row>
    <row r="9" spans="10:43">
      <c r="O9" s="94"/>
      <c r="P9" s="12"/>
      <c r="Q9" s="12"/>
      <c r="R9" s="12"/>
      <c r="S9" s="12"/>
      <c r="T9" s="12"/>
      <c r="U9" s="208"/>
      <c r="V9" s="208"/>
      <c r="W9" s="208"/>
      <c r="X9" s="12"/>
      <c r="Y9" s="214">
        <f>9*64</f>
        <v>576</v>
      </c>
      <c r="Z9" s="12"/>
      <c r="AA9" s="12"/>
      <c r="AB9" s="12"/>
      <c r="AC9" s="12"/>
      <c r="AD9" s="12"/>
      <c r="AE9" s="12"/>
      <c r="AF9" s="12"/>
    </row>
    <row r="10" spans="10:43">
      <c r="M10" t="s">
        <v>654</v>
      </c>
      <c r="O10" t="s">
        <v>2792</v>
      </c>
      <c r="R10" s="12"/>
      <c r="S10" t="s">
        <v>654</v>
      </c>
      <c r="T10" s="12"/>
      <c r="U10" s="94"/>
      <c r="V10" s="12"/>
      <c r="W10" s="12"/>
      <c r="X10" s="12"/>
      <c r="Y10" s="12"/>
      <c r="Z10" s="12"/>
      <c r="AA10" s="12"/>
      <c r="AB10" s="12"/>
      <c r="AC10" s="12"/>
      <c r="AD10" s="12"/>
      <c r="AE10" s="12"/>
      <c r="AF10" s="12"/>
      <c r="AL10" t="s">
        <v>389</v>
      </c>
    </row>
    <row r="11" spans="10:43">
      <c r="M11" s="1"/>
      <c r="R11" s="94"/>
      <c r="S11" s="1"/>
      <c r="T11" s="12"/>
      <c r="AL11" s="1"/>
      <c r="AM11" s="119"/>
      <c r="AN11" s="119"/>
    </row>
    <row r="12" spans="10:43">
      <c r="M12" s="1"/>
      <c r="N12" s="180"/>
      <c r="O12" s="180"/>
      <c r="P12" s="180"/>
      <c r="Q12" s="180"/>
      <c r="S12" s="1"/>
      <c r="AL12" s="1"/>
      <c r="AM12" s="119"/>
      <c r="AN12" s="119"/>
    </row>
    <row r="13" spans="10:43">
      <c r="M13" s="1"/>
      <c r="R13" s="126"/>
      <c r="S13" s="1"/>
      <c r="W13">
        <v>24</v>
      </c>
      <c r="AA13" s="516" t="s">
        <v>673</v>
      </c>
      <c r="AB13" s="516"/>
      <c r="AL13" s="1"/>
      <c r="AM13" s="119"/>
      <c r="AN13" s="119"/>
      <c r="AP13" s="1"/>
    </row>
    <row r="14" spans="10:43">
      <c r="M14" s="1"/>
      <c r="O14" s="516" t="s">
        <v>656</v>
      </c>
      <c r="P14" s="516"/>
      <c r="Q14" s="516"/>
      <c r="S14" s="1"/>
      <c r="V14" s="516" t="s">
        <v>656</v>
      </c>
      <c r="W14" s="516"/>
      <c r="X14" s="516"/>
      <c r="Y14" s="180"/>
      <c r="Z14" s="180"/>
      <c r="AA14" s="543" t="s">
        <v>664</v>
      </c>
      <c r="AB14" s="543"/>
      <c r="AC14" s="180"/>
      <c r="AE14" t="s">
        <v>657</v>
      </c>
      <c r="AG14" t="s">
        <v>658</v>
      </c>
      <c r="AL14" s="1"/>
      <c r="AM14" s="119"/>
      <c r="AN14" t="s">
        <v>657</v>
      </c>
      <c r="AP14" s="1"/>
    </row>
    <row r="15" spans="10:43">
      <c r="M15" s="1"/>
      <c r="O15" s="161"/>
      <c r="P15" s="161"/>
      <c r="Q15" s="161"/>
      <c r="R15" s="180"/>
      <c r="S15" s="1"/>
      <c r="V15" s="161"/>
      <c r="W15" s="161"/>
      <c r="X15" s="161"/>
      <c r="Y15" s="161"/>
      <c r="Z15" s="119"/>
      <c r="AA15" s="119"/>
      <c r="AB15" s="119"/>
      <c r="AC15" s="119"/>
      <c r="AE15" s="187"/>
      <c r="AG15" s="117"/>
      <c r="AH15" s="119"/>
      <c r="AL15" s="1"/>
      <c r="AM15" s="119"/>
      <c r="AN15" s="187"/>
      <c r="AP15" s="1"/>
      <c r="AQ15">
        <v>0</v>
      </c>
    </row>
    <row r="16" spans="10:43">
      <c r="M16" s="1"/>
      <c r="O16" s="161"/>
      <c r="P16" s="161"/>
      <c r="Q16" s="161"/>
      <c r="S16" s="1"/>
      <c r="V16" s="161"/>
      <c r="W16" s="161"/>
      <c r="X16" s="161"/>
      <c r="Y16" s="161"/>
      <c r="Z16" s="119"/>
      <c r="AA16" s="161"/>
      <c r="AB16" s="161"/>
      <c r="AC16" s="119"/>
      <c r="AE16" s="187"/>
      <c r="AG16" s="117"/>
      <c r="AH16" s="119"/>
      <c r="AL16" s="1"/>
      <c r="AM16" s="119"/>
      <c r="AN16" s="187"/>
      <c r="AP16" s="1"/>
      <c r="AQ16">
        <v>1</v>
      </c>
    </row>
    <row r="17" spans="3:43">
      <c r="M17" s="1"/>
      <c r="O17" s="161"/>
      <c r="P17" s="161"/>
      <c r="Q17" s="161"/>
      <c r="S17" s="1"/>
      <c r="U17">
        <v>24</v>
      </c>
      <c r="V17" s="161"/>
      <c r="W17" s="161"/>
      <c r="X17" s="161"/>
      <c r="Y17" s="161"/>
      <c r="Z17" s="119"/>
      <c r="AA17" s="161"/>
      <c r="AB17" s="161"/>
      <c r="AC17" s="119"/>
      <c r="AE17" s="187"/>
      <c r="AG17" s="117"/>
      <c r="AH17" s="119"/>
      <c r="AL17" s="1"/>
      <c r="AM17" s="119"/>
      <c r="AN17" s="187"/>
      <c r="AP17" s="1"/>
    </row>
    <row r="18" spans="3:43">
      <c r="M18" s="1"/>
      <c r="O18" s="161"/>
      <c r="P18" s="161"/>
      <c r="Q18" s="161"/>
      <c r="S18" s="1"/>
      <c r="V18" s="161"/>
      <c r="W18" s="161"/>
      <c r="X18" s="161"/>
      <c r="Y18" s="161"/>
      <c r="Z18" s="119"/>
      <c r="AA18" s="119"/>
      <c r="AB18" s="119"/>
      <c r="AC18" s="119"/>
      <c r="AE18" s="187"/>
      <c r="AG18" s="117"/>
      <c r="AH18" s="119"/>
      <c r="AL18" s="1"/>
      <c r="AM18" s="119"/>
      <c r="AN18" s="187"/>
      <c r="AP18" s="1"/>
    </row>
    <row r="19" spans="3:43">
      <c r="M19" s="1"/>
      <c r="O19" s="161"/>
      <c r="P19" s="161"/>
      <c r="Q19" s="161"/>
      <c r="S19" s="1"/>
      <c r="V19" s="119"/>
      <c r="W19" s="119"/>
      <c r="X19" s="119"/>
      <c r="Y19" s="119"/>
      <c r="Z19" s="119"/>
      <c r="AA19" s="543" t="s">
        <v>674</v>
      </c>
      <c r="AB19" s="543"/>
      <c r="AC19" s="119"/>
      <c r="AE19" s="187"/>
      <c r="AG19" s="117"/>
      <c r="AH19" s="119"/>
      <c r="AL19" s="1"/>
      <c r="AM19" s="119"/>
      <c r="AN19" s="187"/>
      <c r="AP19" s="1"/>
      <c r="AQ19" s="518"/>
    </row>
    <row r="20" spans="3:43">
      <c r="M20" s="1"/>
      <c r="S20" s="1"/>
      <c r="AL20" s="1"/>
      <c r="AM20" s="119"/>
      <c r="AN20" s="119"/>
      <c r="AP20" s="1"/>
      <c r="AQ20" s="518"/>
    </row>
    <row r="21" spans="3:43">
      <c r="M21" s="1"/>
      <c r="O21" s="542" t="s">
        <v>669</v>
      </c>
      <c r="P21" s="542"/>
      <c r="Q21" s="542"/>
      <c r="S21" s="1"/>
      <c r="AG21">
        <f>12*12*64</f>
        <v>9216</v>
      </c>
      <c r="AL21" s="1"/>
      <c r="AM21" s="119"/>
      <c r="AN21" s="119"/>
      <c r="AP21" s="1"/>
      <c r="AQ21" s="198">
        <v>9</v>
      </c>
    </row>
    <row r="22" spans="3:43">
      <c r="M22" s="1"/>
      <c r="O22" s="212" t="s">
        <v>671</v>
      </c>
      <c r="P22" s="212"/>
      <c r="Q22" s="212"/>
      <c r="S22" s="1"/>
      <c r="U22" s="542" t="s">
        <v>1799</v>
      </c>
      <c r="V22" s="542"/>
      <c r="W22" s="542"/>
      <c r="AL22" s="1"/>
      <c r="AM22" s="119"/>
      <c r="AN22" s="119"/>
    </row>
    <row r="23" spans="3:43">
      <c r="M23" s="1"/>
      <c r="O23" s="212" t="s">
        <v>665</v>
      </c>
      <c r="P23" s="212"/>
      <c r="Q23" s="212"/>
      <c r="S23" s="1"/>
      <c r="U23" s="212" t="s">
        <v>672</v>
      </c>
      <c r="V23" s="212"/>
      <c r="W23" s="212"/>
      <c r="AL23" s="1"/>
      <c r="AM23" s="119"/>
      <c r="AN23" s="119"/>
    </row>
    <row r="24" spans="3:43">
      <c r="M24" s="1"/>
      <c r="S24" s="1"/>
      <c r="U24" s="212" t="s">
        <v>665</v>
      </c>
      <c r="V24" s="212"/>
      <c r="W24" s="212"/>
      <c r="AL24" s="1"/>
      <c r="AM24" s="119"/>
      <c r="AN24" s="119"/>
    </row>
    <row r="25" spans="3:43">
      <c r="M25" s="1"/>
      <c r="S25" s="1"/>
      <c r="AL25" s="1"/>
      <c r="AM25" s="119"/>
      <c r="AN25" s="119"/>
    </row>
    <row r="26" spans="3:43">
      <c r="M26" s="210">
        <v>32</v>
      </c>
      <c r="S26">
        <v>64</v>
      </c>
      <c r="U26" s="211"/>
      <c r="W26" s="211">
        <f>24*24</f>
        <v>576</v>
      </c>
      <c r="AL26">
        <v>128</v>
      </c>
      <c r="AP26">
        <v>10</v>
      </c>
    </row>
    <row r="27" spans="3:43">
      <c r="Y27" t="s">
        <v>679</v>
      </c>
    </row>
    <row r="28" spans="3:43">
      <c r="Z28" s="213">
        <f>288*64 +64</f>
        <v>18496</v>
      </c>
      <c r="AJ28">
        <f>AG21*AL26</f>
        <v>1179648</v>
      </c>
      <c r="AL28">
        <v>128</v>
      </c>
      <c r="AP28" s="3">
        <f>AL26*AP26+AP26</f>
        <v>1290</v>
      </c>
    </row>
    <row r="29" spans="3:43">
      <c r="O29" t="s">
        <v>681</v>
      </c>
      <c r="Q29">
        <f>32*9</f>
        <v>288</v>
      </c>
    </row>
    <row r="30" spans="3:43">
      <c r="AL30" s="3">
        <f>AJ28+AL28</f>
        <v>1179776</v>
      </c>
    </row>
    <row r="31" spans="3:43">
      <c r="C31" s="180" t="s">
        <v>661</v>
      </c>
      <c r="E31" t="s">
        <v>662</v>
      </c>
    </row>
    <row r="32" spans="3:43">
      <c r="AB32" t="s">
        <v>680</v>
      </c>
      <c r="AG32" s="127">
        <f>Z4+Z28+AL30+AP28</f>
        <v>1199882</v>
      </c>
    </row>
    <row r="33" spans="1:23">
      <c r="B33" s="209"/>
      <c r="C33" s="209"/>
      <c r="D33" s="209"/>
    </row>
    <row r="34" spans="1:23">
      <c r="A34" s="180" t="s">
        <v>663</v>
      </c>
      <c r="B34" s="209"/>
      <c r="C34" s="209"/>
      <c r="D34" s="209"/>
    </row>
    <row r="35" spans="1:23">
      <c r="B35" s="209"/>
      <c r="C35" s="209"/>
      <c r="D35" s="209"/>
    </row>
    <row r="36" spans="1:23">
      <c r="B36" s="209"/>
      <c r="C36" s="209"/>
      <c r="D36" s="209"/>
    </row>
    <row r="37" spans="1:23">
      <c r="B37" s="209"/>
      <c r="C37" s="209"/>
      <c r="D37" s="209"/>
    </row>
    <row r="38" spans="1:23">
      <c r="B38" s="209"/>
      <c r="C38" s="209"/>
      <c r="D38" s="209"/>
      <c r="M38" s="215" t="s">
        <v>682</v>
      </c>
      <c r="W38" s="215" t="s">
        <v>701</v>
      </c>
    </row>
    <row r="39" spans="1:23">
      <c r="M39" s="215" t="s">
        <v>683</v>
      </c>
      <c r="W39" s="215" t="s">
        <v>702</v>
      </c>
    </row>
    <row r="40" spans="1:23">
      <c r="M40" s="215" t="s">
        <v>684</v>
      </c>
      <c r="W40" s="215" t="s">
        <v>703</v>
      </c>
    </row>
    <row r="41" spans="1:23">
      <c r="B41" s="209"/>
      <c r="C41" s="209"/>
      <c r="D41" s="209"/>
      <c r="M41" s="215" t="s">
        <v>685</v>
      </c>
      <c r="W41" s="215" t="s">
        <v>686</v>
      </c>
    </row>
    <row r="42" spans="1:23">
      <c r="B42" s="209"/>
      <c r="C42" s="209"/>
      <c r="D42" s="209"/>
      <c r="M42" s="215" t="s">
        <v>686</v>
      </c>
      <c r="W42" s="215" t="s">
        <v>687</v>
      </c>
    </row>
    <row r="43" spans="1:23">
      <c r="B43" s="209"/>
      <c r="C43" s="209"/>
      <c r="D43" s="209"/>
      <c r="M43" s="215" t="s">
        <v>687</v>
      </c>
      <c r="W43" s="215" t="s">
        <v>704</v>
      </c>
    </row>
    <row r="44" spans="1:23">
      <c r="B44" s="209"/>
      <c r="C44" s="209"/>
      <c r="D44" s="209"/>
      <c r="M44" s="215" t="s">
        <v>688</v>
      </c>
      <c r="W44" s="215" t="s">
        <v>699</v>
      </c>
    </row>
    <row r="45" spans="1:23">
      <c r="B45" s="209"/>
      <c r="C45" s="209"/>
      <c r="D45" s="209"/>
      <c r="M45" s="215" t="s">
        <v>689</v>
      </c>
      <c r="W45" s="215" t="s">
        <v>700</v>
      </c>
    </row>
    <row r="46" spans="1:23">
      <c r="B46" s="209"/>
      <c r="C46" s="209"/>
      <c r="D46" s="209"/>
      <c r="M46" s="215" t="s">
        <v>690</v>
      </c>
    </row>
    <row r="47" spans="1:23">
      <c r="M47" s="215" t="s">
        <v>691</v>
      </c>
    </row>
    <row r="48" spans="1:23">
      <c r="M48" s="215" t="s">
        <v>692</v>
      </c>
    </row>
    <row r="49" spans="1:13">
      <c r="M49" s="215" t="s">
        <v>693</v>
      </c>
    </row>
    <row r="50" spans="1:13">
      <c r="M50" s="215" t="s">
        <v>694</v>
      </c>
    </row>
    <row r="51" spans="1:13">
      <c r="M51" s="215" t="s">
        <v>695</v>
      </c>
    </row>
    <row r="52" spans="1:13">
      <c r="B52" s="209"/>
      <c r="C52" s="209"/>
      <c r="D52" s="209"/>
      <c r="M52" s="215" t="s">
        <v>696</v>
      </c>
    </row>
    <row r="53" spans="1:13">
      <c r="B53" s="209"/>
      <c r="C53" s="209"/>
      <c r="D53" s="209"/>
      <c r="M53" s="215" t="s">
        <v>697</v>
      </c>
    </row>
    <row r="54" spans="1:13">
      <c r="A54" t="s">
        <v>648</v>
      </c>
      <c r="B54" s="209"/>
      <c r="C54" s="209"/>
      <c r="D54" s="209"/>
      <c r="M54" s="215" t="s">
        <v>698</v>
      </c>
    </row>
    <row r="55" spans="1:13">
      <c r="B55" s="209"/>
      <c r="C55" s="209"/>
      <c r="D55" s="209"/>
      <c r="M55" s="215" t="s">
        <v>699</v>
      </c>
    </row>
    <row r="56" spans="1:13">
      <c r="B56" s="209"/>
      <c r="C56" s="209"/>
      <c r="D56" s="209"/>
      <c r="M56" s="215" t="s">
        <v>700</v>
      </c>
    </row>
    <row r="57" spans="1:13">
      <c r="B57" s="209"/>
      <c r="C57" s="209"/>
      <c r="D57" s="209"/>
    </row>
  </sheetData>
  <mergeCells count="11">
    <mergeCell ref="O21:Q21"/>
    <mergeCell ref="U22:W22"/>
    <mergeCell ref="AA13:AB13"/>
    <mergeCell ref="AA19:AB19"/>
    <mergeCell ref="AQ19:AQ20"/>
    <mergeCell ref="AA14:AB14"/>
    <mergeCell ref="R7:T7"/>
    <mergeCell ref="O5:Q5"/>
    <mergeCell ref="U6:W6"/>
    <mergeCell ref="O14:Q14"/>
    <mergeCell ref="V14:X14"/>
  </mergeCells>
  <phoneticPr fontId="5" type="noConversion"/>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dimension ref="A1:AL57"/>
  <sheetViews>
    <sheetView topLeftCell="E3" zoomScale="85" zoomScaleNormal="85" workbookViewId="0">
      <selection activeCell="N3" sqref="N3"/>
    </sheetView>
  </sheetViews>
  <sheetFormatPr defaultRowHeight="16.5"/>
  <cols>
    <col min="15" max="19" width="3.875" customWidth="1"/>
    <col min="20" max="20" width="5.25" customWidth="1"/>
    <col min="21" max="21" width="8.125" customWidth="1"/>
    <col min="22" max="25" width="5.5" customWidth="1"/>
    <col min="26" max="26" width="10.25" customWidth="1"/>
    <col min="27" max="27" width="5.5" customWidth="1"/>
    <col min="28" max="28" width="4.5" customWidth="1"/>
    <col min="29" max="29" width="10.5" customWidth="1"/>
  </cols>
  <sheetData>
    <row r="1" spans="10:38">
      <c r="N1" t="s">
        <v>675</v>
      </c>
    </row>
    <row r="2" spans="10:38">
      <c r="N2" s="129"/>
    </row>
    <row r="3" spans="10:38">
      <c r="N3" s="129" t="s">
        <v>2614</v>
      </c>
    </row>
    <row r="4" spans="10:38">
      <c r="J4" t="s">
        <v>659</v>
      </c>
      <c r="M4" t="s">
        <v>633</v>
      </c>
      <c r="N4" s="129" t="s">
        <v>2615</v>
      </c>
      <c r="U4" s="127"/>
    </row>
    <row r="5" spans="10:38">
      <c r="K5" t="s">
        <v>660</v>
      </c>
      <c r="O5" s="541" t="s">
        <v>670</v>
      </c>
      <c r="P5" s="541"/>
      <c r="Q5" s="541"/>
      <c r="R5" s="541"/>
      <c r="S5" s="420"/>
      <c r="U5">
        <f>800+32</f>
        <v>832</v>
      </c>
    </row>
    <row r="6" spans="10:38">
      <c r="O6" s="208"/>
      <c r="P6" s="208"/>
      <c r="Q6" s="208"/>
      <c r="R6" s="208"/>
      <c r="S6" s="208"/>
      <c r="U6" s="420"/>
      <c r="V6" s="420"/>
      <c r="W6" s="420"/>
      <c r="X6" s="420"/>
      <c r="Y6" s="420"/>
      <c r="Z6" s="420"/>
      <c r="AA6" s="420"/>
      <c r="AB6" s="420"/>
      <c r="AC6" s="420"/>
    </row>
    <row r="7" spans="10:38">
      <c r="L7" s="125"/>
      <c r="O7" s="208"/>
      <c r="P7" s="208"/>
      <c r="Q7" s="208"/>
      <c r="R7" s="208"/>
      <c r="S7" s="208"/>
      <c r="T7" s="420"/>
      <c r="U7" s="12"/>
      <c r="V7" s="12"/>
      <c r="W7" s="12"/>
      <c r="X7" s="12"/>
      <c r="Y7" s="12"/>
      <c r="Z7" s="12"/>
      <c r="AA7" s="12"/>
      <c r="AB7" s="12"/>
      <c r="AC7" s="12"/>
    </row>
    <row r="8" spans="10:38">
      <c r="O8" s="208"/>
      <c r="P8" s="208"/>
      <c r="Q8" s="208"/>
      <c r="R8" s="208"/>
      <c r="S8" s="208"/>
      <c r="T8" s="12"/>
      <c r="U8" s="12"/>
      <c r="V8" s="12"/>
      <c r="W8" s="12"/>
      <c r="X8" s="12"/>
      <c r="Y8" s="12"/>
      <c r="Z8" s="12"/>
      <c r="AA8" s="12"/>
      <c r="AB8" s="12"/>
      <c r="AC8" s="12"/>
    </row>
    <row r="9" spans="10:38">
      <c r="O9" s="89"/>
      <c r="P9" s="208"/>
      <c r="Q9" s="208"/>
      <c r="R9" s="208"/>
      <c r="S9" s="208"/>
      <c r="T9" s="12"/>
      <c r="U9" s="12"/>
      <c r="V9" s="12"/>
      <c r="W9" s="12"/>
      <c r="X9" s="12"/>
      <c r="Y9" s="12"/>
      <c r="Z9" s="12"/>
      <c r="AA9" s="12"/>
      <c r="AB9" s="12"/>
      <c r="AC9" s="12"/>
    </row>
    <row r="10" spans="10:38">
      <c r="M10" t="s">
        <v>654</v>
      </c>
      <c r="O10" s="208"/>
      <c r="P10" s="208"/>
      <c r="Q10" s="208"/>
      <c r="R10" s="208"/>
      <c r="S10" s="208"/>
      <c r="T10" s="12"/>
      <c r="U10" s="12"/>
      <c r="V10" s="12"/>
      <c r="W10" s="12"/>
      <c r="X10" s="12"/>
      <c r="Y10" t="s">
        <v>654</v>
      </c>
      <c r="Z10" s="12"/>
      <c r="AA10" s="12"/>
      <c r="AB10" s="12"/>
      <c r="AC10" s="12"/>
      <c r="AG10" t="s">
        <v>389</v>
      </c>
    </row>
    <row r="11" spans="10:38">
      <c r="M11" s="1"/>
      <c r="T11" s="420"/>
      <c r="Y11" s="1"/>
      <c r="AG11" s="1"/>
      <c r="AH11" s="119"/>
      <c r="AI11" s="119"/>
    </row>
    <row r="12" spans="10:38">
      <c r="M12" s="1"/>
      <c r="N12" s="419"/>
      <c r="O12" s="419"/>
      <c r="P12" s="419"/>
      <c r="Q12" s="419"/>
      <c r="R12" s="419"/>
      <c r="S12" s="419"/>
      <c r="Y12" s="1"/>
      <c r="AG12" s="1"/>
      <c r="AH12" s="119"/>
      <c r="AI12" s="119"/>
    </row>
    <row r="13" spans="10:38">
      <c r="M13" s="1"/>
      <c r="T13" s="126"/>
      <c r="V13" s="516" t="s">
        <v>673</v>
      </c>
      <c r="W13" s="516"/>
      <c r="X13" s="419"/>
      <c r="Y13" s="1"/>
      <c r="Z13" s="419"/>
      <c r="AA13" s="516" t="s">
        <v>673</v>
      </c>
      <c r="AB13" s="516"/>
      <c r="AG13" s="1"/>
      <c r="AH13" s="119"/>
      <c r="AI13" s="119"/>
      <c r="AK13" s="1"/>
    </row>
    <row r="14" spans="10:38">
      <c r="M14" s="1"/>
      <c r="O14" s="516" t="s">
        <v>656</v>
      </c>
      <c r="P14" s="516"/>
      <c r="Q14" s="516"/>
      <c r="R14" s="516"/>
      <c r="S14" s="419"/>
      <c r="U14" s="419"/>
      <c r="V14" s="543" t="s">
        <v>664</v>
      </c>
      <c r="W14" s="543"/>
      <c r="X14" s="422"/>
      <c r="Y14" s="1"/>
      <c r="Z14" s="422"/>
      <c r="AA14" s="543" t="s">
        <v>664</v>
      </c>
      <c r="AB14" s="543"/>
      <c r="AD14" t="s">
        <v>658</v>
      </c>
      <c r="AG14" s="1"/>
      <c r="AH14" s="119"/>
      <c r="AI14" t="s">
        <v>657</v>
      </c>
      <c r="AK14" s="1"/>
    </row>
    <row r="15" spans="10:38">
      <c r="M15" s="1"/>
      <c r="O15" s="161"/>
      <c r="P15" s="161"/>
      <c r="Q15" s="161"/>
      <c r="R15" s="161"/>
      <c r="S15" s="161"/>
      <c r="T15" s="419"/>
      <c r="U15" s="119"/>
      <c r="V15" s="119"/>
      <c r="W15" s="119"/>
      <c r="X15" s="119"/>
      <c r="Y15" s="1"/>
      <c r="Z15" s="119"/>
      <c r="AA15" s="119"/>
      <c r="AB15" s="119"/>
      <c r="AD15" s="117"/>
      <c r="AG15" s="1"/>
      <c r="AH15" s="119"/>
      <c r="AI15" s="187"/>
      <c r="AK15" s="1"/>
      <c r="AL15">
        <v>0</v>
      </c>
    </row>
    <row r="16" spans="10:38">
      <c r="M16" s="1"/>
      <c r="O16" s="161"/>
      <c r="P16" s="161"/>
      <c r="Q16" s="161"/>
      <c r="R16" s="161"/>
      <c r="S16" s="161"/>
      <c r="U16" s="119"/>
      <c r="V16" s="161"/>
      <c r="W16" s="161"/>
      <c r="X16" s="119"/>
      <c r="Y16" s="1"/>
      <c r="Z16" s="119"/>
      <c r="AA16" s="161"/>
      <c r="AB16" s="161"/>
      <c r="AD16" s="117"/>
      <c r="AG16" s="1"/>
      <c r="AH16" s="119"/>
      <c r="AI16" s="187"/>
      <c r="AK16" s="1"/>
      <c r="AL16">
        <v>1</v>
      </c>
    </row>
    <row r="17" spans="3:38">
      <c r="M17" s="1"/>
      <c r="O17" s="161"/>
      <c r="P17" s="161"/>
      <c r="Q17" s="161"/>
      <c r="R17" s="161"/>
      <c r="S17" s="161"/>
      <c r="U17" s="119"/>
      <c r="V17" s="161"/>
      <c r="W17" s="161"/>
      <c r="X17" s="119"/>
      <c r="Y17" s="1"/>
      <c r="Z17" s="119"/>
      <c r="AA17" s="161"/>
      <c r="AB17" s="161"/>
      <c r="AD17" s="117"/>
      <c r="AG17" s="1"/>
      <c r="AH17" s="119"/>
      <c r="AI17" s="187">
        <v>0.5</v>
      </c>
      <c r="AK17" s="1"/>
    </row>
    <row r="18" spans="3:38">
      <c r="M18" s="1"/>
      <c r="O18" s="161"/>
      <c r="P18" s="161"/>
      <c r="Q18" s="161"/>
      <c r="R18" s="161"/>
      <c r="S18" s="161"/>
      <c r="U18" s="119"/>
      <c r="V18" s="119"/>
      <c r="W18" s="119"/>
      <c r="X18" s="119"/>
      <c r="Y18" s="1"/>
      <c r="Z18" s="119"/>
      <c r="AA18" s="119"/>
      <c r="AB18" s="119"/>
      <c r="AD18" s="117"/>
      <c r="AG18" s="1"/>
      <c r="AH18" s="119"/>
      <c r="AI18" s="187"/>
      <c r="AK18" s="1"/>
    </row>
    <row r="19" spans="3:38">
      <c r="M19" s="1"/>
      <c r="O19" s="161"/>
      <c r="P19" s="161"/>
      <c r="Q19" s="161"/>
      <c r="R19" s="161"/>
      <c r="S19" s="161"/>
      <c r="U19" s="119"/>
      <c r="V19" s="543" t="s">
        <v>2617</v>
      </c>
      <c r="W19" s="543"/>
      <c r="X19" s="422"/>
      <c r="Y19" s="1"/>
      <c r="Z19" s="422"/>
      <c r="AA19" s="543" t="s">
        <v>2620</v>
      </c>
      <c r="AB19" s="543"/>
      <c r="AD19" s="117"/>
      <c r="AG19" s="1"/>
      <c r="AH19" s="119"/>
      <c r="AI19" s="187"/>
      <c r="AK19" s="1"/>
      <c r="AL19" s="518"/>
    </row>
    <row r="20" spans="3:38">
      <c r="M20" s="1"/>
      <c r="Y20" s="1"/>
      <c r="AG20" s="1"/>
      <c r="AH20" s="119"/>
      <c r="AI20" s="119"/>
      <c r="AK20" s="1"/>
      <c r="AL20" s="518"/>
    </row>
    <row r="21" spans="3:38">
      <c r="M21" s="1"/>
      <c r="O21" s="542" t="s">
        <v>2616</v>
      </c>
      <c r="P21" s="542"/>
      <c r="Q21" s="542"/>
      <c r="R21" s="542"/>
      <c r="S21" s="421"/>
      <c r="Y21" s="1"/>
      <c r="AD21">
        <f>7*7*64</f>
        <v>3136</v>
      </c>
      <c r="AG21" s="1"/>
      <c r="AH21" s="119"/>
      <c r="AI21" s="119"/>
      <c r="AK21" s="1"/>
      <c r="AL21" s="198">
        <v>9</v>
      </c>
    </row>
    <row r="22" spans="3:38">
      <c r="M22" s="1"/>
      <c r="O22" s="212" t="s">
        <v>2618</v>
      </c>
      <c r="P22" s="212"/>
      <c r="Q22" s="212"/>
      <c r="R22" s="212"/>
      <c r="S22" s="212"/>
      <c r="Y22" s="1"/>
      <c r="AG22" s="1"/>
      <c r="AH22" s="119"/>
      <c r="AI22" s="119"/>
    </row>
    <row r="23" spans="3:38">
      <c r="M23" s="1"/>
      <c r="O23" s="212" t="s">
        <v>2619</v>
      </c>
      <c r="P23" s="212"/>
      <c r="Q23" s="212"/>
      <c r="R23" s="212"/>
      <c r="S23" s="212"/>
      <c r="Y23" s="1"/>
      <c r="AG23" s="1"/>
      <c r="AH23" s="119"/>
      <c r="AI23" s="119"/>
    </row>
    <row r="24" spans="3:38">
      <c r="M24" s="1"/>
      <c r="Y24" s="1"/>
      <c r="AG24" s="1"/>
      <c r="AH24" s="119"/>
      <c r="AI24" s="119"/>
    </row>
    <row r="25" spans="3:38">
      <c r="M25" s="1"/>
      <c r="Y25" s="1"/>
      <c r="AG25" s="1"/>
      <c r="AH25" s="119"/>
      <c r="AI25" s="119"/>
    </row>
    <row r="26" spans="3:38">
      <c r="M26" s="210">
        <v>32</v>
      </c>
      <c r="Y26">
        <v>64</v>
      </c>
      <c r="AG26">
        <v>1024</v>
      </c>
      <c r="AK26">
        <v>10</v>
      </c>
    </row>
    <row r="27" spans="3:38">
      <c r="AC27">
        <f>800*64</f>
        <v>51200</v>
      </c>
    </row>
    <row r="28" spans="3:38">
      <c r="T28" s="211"/>
      <c r="U28" s="213"/>
      <c r="AC28">
        <v>64</v>
      </c>
      <c r="AE28">
        <f>AD21*AG26</f>
        <v>3211264</v>
      </c>
      <c r="AG28">
        <v>1024</v>
      </c>
      <c r="AK28" s="3">
        <f>AG26*AK26+AK26</f>
        <v>10250</v>
      </c>
    </row>
    <row r="29" spans="3:38">
      <c r="AC29" s="90">
        <f>AC27+AC28</f>
        <v>51264</v>
      </c>
    </row>
    <row r="30" spans="3:38">
      <c r="AG30" s="3">
        <f>AE28+AG28</f>
        <v>3212288</v>
      </c>
    </row>
    <row r="31" spans="3:38">
      <c r="C31" s="419" t="s">
        <v>661</v>
      </c>
      <c r="E31" t="s">
        <v>662</v>
      </c>
    </row>
    <row r="32" spans="3:38" ht="17.25">
      <c r="W32" t="s">
        <v>680</v>
      </c>
      <c r="AC32" s="449">
        <f>U5+AC29+AG30+AK28</f>
        <v>3274634</v>
      </c>
      <c r="AD32" s="127"/>
    </row>
    <row r="33" spans="1:13">
      <c r="B33" s="209"/>
      <c r="C33" s="209"/>
      <c r="D33" s="209"/>
    </row>
    <row r="34" spans="1:13">
      <c r="A34" s="419" t="s">
        <v>646</v>
      </c>
      <c r="B34" s="209"/>
      <c r="C34" s="209"/>
      <c r="D34" s="209"/>
    </row>
    <row r="35" spans="1:13">
      <c r="B35" s="209"/>
      <c r="C35" s="209"/>
      <c r="D35" s="209"/>
    </row>
    <row r="36" spans="1:13">
      <c r="B36" s="209"/>
      <c r="C36" s="209"/>
      <c r="D36" s="209"/>
    </row>
    <row r="37" spans="1:13">
      <c r="B37" s="209"/>
      <c r="C37" s="209"/>
      <c r="D37" s="209"/>
    </row>
    <row r="38" spans="1:13">
      <c r="B38" s="209"/>
      <c r="C38" s="209"/>
      <c r="D38" s="209"/>
      <c r="M38" s="215" t="s">
        <v>682</v>
      </c>
    </row>
    <row r="39" spans="1:13">
      <c r="M39" s="215" t="s">
        <v>683</v>
      </c>
    </row>
    <row r="40" spans="1:13">
      <c r="M40" s="215" t="s">
        <v>684</v>
      </c>
    </row>
    <row r="41" spans="1:13">
      <c r="B41" s="209"/>
      <c r="C41" s="209"/>
      <c r="D41" s="209"/>
      <c r="M41" s="215" t="s">
        <v>685</v>
      </c>
    </row>
    <row r="42" spans="1:13">
      <c r="B42" s="209"/>
      <c r="C42" s="209"/>
      <c r="D42" s="209"/>
      <c r="M42" s="215" t="s">
        <v>686</v>
      </c>
    </row>
    <row r="43" spans="1:13">
      <c r="B43" s="209"/>
      <c r="C43" s="209"/>
      <c r="D43" s="209"/>
      <c r="M43" s="215" t="s">
        <v>687</v>
      </c>
    </row>
    <row r="44" spans="1:13">
      <c r="B44" s="209"/>
      <c r="C44" s="209"/>
      <c r="D44" s="209"/>
      <c r="M44" s="215" t="s">
        <v>688</v>
      </c>
    </row>
    <row r="45" spans="1:13">
      <c r="B45" s="209"/>
      <c r="C45" s="209"/>
      <c r="D45" s="209"/>
      <c r="M45" s="215" t="s">
        <v>689</v>
      </c>
    </row>
    <row r="46" spans="1:13">
      <c r="B46" s="209"/>
      <c r="C46" s="209"/>
      <c r="D46" s="209"/>
      <c r="M46" s="215" t="s">
        <v>690</v>
      </c>
    </row>
    <row r="47" spans="1:13">
      <c r="M47" s="215" t="s">
        <v>691</v>
      </c>
    </row>
    <row r="48" spans="1:13">
      <c r="M48" s="215" t="s">
        <v>692</v>
      </c>
    </row>
    <row r="49" spans="1:13">
      <c r="M49" s="215" t="s">
        <v>693</v>
      </c>
    </row>
    <row r="50" spans="1:13">
      <c r="M50" s="215" t="s">
        <v>694</v>
      </c>
    </row>
    <row r="51" spans="1:13">
      <c r="M51" s="215" t="s">
        <v>695</v>
      </c>
    </row>
    <row r="52" spans="1:13">
      <c r="B52" s="209"/>
      <c r="C52" s="209"/>
      <c r="D52" s="209"/>
      <c r="M52" s="215" t="s">
        <v>696</v>
      </c>
    </row>
    <row r="53" spans="1:13">
      <c r="B53" s="209"/>
      <c r="C53" s="209"/>
      <c r="D53" s="209"/>
      <c r="M53" s="215" t="s">
        <v>697</v>
      </c>
    </row>
    <row r="54" spans="1:13">
      <c r="A54" t="s">
        <v>648</v>
      </c>
      <c r="B54" s="209"/>
      <c r="C54" s="209"/>
      <c r="D54" s="209"/>
      <c r="M54" s="215" t="s">
        <v>698</v>
      </c>
    </row>
    <row r="55" spans="1:13">
      <c r="B55" s="209"/>
      <c r="C55" s="209"/>
      <c r="D55" s="209"/>
      <c r="M55" s="215" t="s">
        <v>699</v>
      </c>
    </row>
    <row r="56" spans="1:13">
      <c r="B56" s="209"/>
      <c r="C56" s="209"/>
      <c r="D56" s="209"/>
      <c r="M56" s="215" t="s">
        <v>700</v>
      </c>
    </row>
    <row r="57" spans="1:13">
      <c r="B57" s="209"/>
      <c r="C57" s="209"/>
      <c r="D57" s="209"/>
    </row>
  </sheetData>
  <mergeCells count="10">
    <mergeCell ref="O5:R5"/>
    <mergeCell ref="O14:R14"/>
    <mergeCell ref="V19:W19"/>
    <mergeCell ref="AL19:AL20"/>
    <mergeCell ref="O21:R21"/>
    <mergeCell ref="V14:W14"/>
    <mergeCell ref="V13:W13"/>
    <mergeCell ref="AA13:AB13"/>
    <mergeCell ref="AA14:AB14"/>
    <mergeCell ref="AA19:AB19"/>
  </mergeCells>
  <phoneticPr fontId="5"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U155"/>
  <sheetViews>
    <sheetView topLeftCell="B129" zoomScale="130" zoomScaleNormal="130" workbookViewId="0">
      <selection activeCell="J140" sqref="J140"/>
    </sheetView>
  </sheetViews>
  <sheetFormatPr defaultRowHeight="16.5"/>
  <cols>
    <col min="2" max="2" width="21.375" customWidth="1"/>
    <col min="3" max="3" width="14.875" customWidth="1"/>
    <col min="5" max="5" width="14" customWidth="1"/>
    <col min="6" max="6" width="25.125" customWidth="1"/>
    <col min="7" max="7" width="21" customWidth="1"/>
  </cols>
  <sheetData>
    <row r="2" spans="2:21" s="1" customFormat="1">
      <c r="B2" s="1" t="s">
        <v>121</v>
      </c>
    </row>
    <row r="4" spans="2:21">
      <c r="B4" s="35" t="s">
        <v>119</v>
      </c>
      <c r="C4" s="35" t="s">
        <v>120</v>
      </c>
      <c r="E4" s="38" t="s">
        <v>119</v>
      </c>
      <c r="F4" s="38" t="s">
        <v>120</v>
      </c>
      <c r="H4" s="36" t="s">
        <v>122</v>
      </c>
    </row>
    <row r="5" spans="2:21">
      <c r="B5" s="34">
        <v>95</v>
      </c>
      <c r="C5" s="34">
        <v>91</v>
      </c>
      <c r="E5" s="39">
        <v>87</v>
      </c>
      <c r="F5" s="39">
        <v>85</v>
      </c>
      <c r="H5" s="37">
        <v>100</v>
      </c>
    </row>
    <row r="6" spans="2:21">
      <c r="B6" s="34">
        <v>92</v>
      </c>
      <c r="C6" s="34">
        <v>93</v>
      </c>
      <c r="E6" s="39">
        <v>89</v>
      </c>
      <c r="F6" s="39">
        <v>90</v>
      </c>
      <c r="H6" s="37">
        <v>100</v>
      </c>
    </row>
    <row r="7" spans="2:21">
      <c r="B7" s="34">
        <v>98</v>
      </c>
      <c r="C7" s="34">
        <v>97</v>
      </c>
      <c r="H7" s="37">
        <v>100</v>
      </c>
      <c r="L7" t="s">
        <v>151</v>
      </c>
      <c r="N7" t="str">
        <f>J7&amp;K7&amp;L7&amp;M7</f>
        <v>'Male',</v>
      </c>
      <c r="P7" t="str">
        <f>P3&amp;P4&amp;P5&amp;P6</f>
        <v/>
      </c>
      <c r="Q7" t="s">
        <v>151</v>
      </c>
      <c r="R7" t="s">
        <v>151</v>
      </c>
      <c r="S7" t="s">
        <v>151</v>
      </c>
      <c r="T7" t="s">
        <v>151</v>
      </c>
      <c r="U7" t="s">
        <v>152</v>
      </c>
    </row>
    <row r="8" spans="2:21">
      <c r="B8" s="34">
        <v>100</v>
      </c>
      <c r="C8" s="34">
        <v>99</v>
      </c>
      <c r="H8" s="37">
        <v>100</v>
      </c>
      <c r="L8" t="s">
        <v>151</v>
      </c>
      <c r="N8" t="str">
        <f>J8&amp;K8&amp;L8&amp;M8</f>
        <v>'Male',</v>
      </c>
    </row>
    <row r="9" spans="2:21">
      <c r="L9" t="s">
        <v>151</v>
      </c>
      <c r="N9" t="str">
        <f>J9&amp;K9&amp;L9&amp;M9</f>
        <v>'Male',</v>
      </c>
    </row>
    <row r="10" spans="2:21">
      <c r="B10" t="s">
        <v>123</v>
      </c>
      <c r="L10" t="s">
        <v>151</v>
      </c>
      <c r="N10" t="str">
        <f>J10&amp;K10&amp;L10&amp;M10</f>
        <v>'Male',</v>
      </c>
    </row>
    <row r="11" spans="2:21">
      <c r="L11" t="s">
        <v>152</v>
      </c>
      <c r="N11" t="str">
        <f>J11&amp;K11&amp;L11&amp;M11</f>
        <v>'Female',</v>
      </c>
    </row>
    <row r="12" spans="2:21">
      <c r="B12" s="34" t="s">
        <v>119</v>
      </c>
      <c r="C12" s="34" t="s">
        <v>120</v>
      </c>
      <c r="D12" s="37" t="s">
        <v>122</v>
      </c>
    </row>
    <row r="13" spans="2:21">
      <c r="B13" s="34">
        <v>95</v>
      </c>
      <c r="C13" s="34">
        <v>91</v>
      </c>
      <c r="D13" s="37">
        <v>100</v>
      </c>
    </row>
    <row r="14" spans="2:21" ht="17.25" thickBot="1">
      <c r="B14" s="34">
        <v>92</v>
      </c>
      <c r="C14" s="34">
        <v>93</v>
      </c>
      <c r="D14" s="37">
        <v>100</v>
      </c>
      <c r="J14" s="519"/>
      <c r="K14" s="520"/>
      <c r="L14" s="520"/>
      <c r="N14" t="s">
        <v>158</v>
      </c>
      <c r="Q14" t="s">
        <v>158</v>
      </c>
      <c r="R14" t="s">
        <v>159</v>
      </c>
      <c r="S14" t="s">
        <v>160</v>
      </c>
      <c r="T14" t="s">
        <v>160</v>
      </c>
    </row>
    <row r="15" spans="2:21" ht="17.25" thickBot="1">
      <c r="B15" s="34">
        <v>98</v>
      </c>
      <c r="C15" s="34">
        <v>97</v>
      </c>
      <c r="D15" s="37">
        <v>100</v>
      </c>
      <c r="K15" s="44" t="s">
        <v>153</v>
      </c>
      <c r="L15" s="45">
        <v>25000</v>
      </c>
      <c r="N15" t="s">
        <v>159</v>
      </c>
    </row>
    <row r="16" spans="2:21" ht="33.75" thickBot="1">
      <c r="B16" s="34">
        <v>100</v>
      </c>
      <c r="C16" s="34">
        <v>99</v>
      </c>
      <c r="D16" s="37">
        <v>100</v>
      </c>
      <c r="K16" s="44" t="s">
        <v>155</v>
      </c>
      <c r="L16" s="45">
        <v>75000</v>
      </c>
      <c r="N16" t="s">
        <v>160</v>
      </c>
    </row>
    <row r="17" spans="2:19" ht="17.25" thickBot="1">
      <c r="K17" s="44" t="s">
        <v>157</v>
      </c>
      <c r="L17" s="45">
        <v>90000</v>
      </c>
      <c r="N17" t="s">
        <v>160</v>
      </c>
    </row>
    <row r="18" spans="2:19" ht="17.25" thickBot="1">
      <c r="B18" t="s">
        <v>124</v>
      </c>
      <c r="K18" s="44" t="s">
        <v>157</v>
      </c>
      <c r="L18" s="45">
        <v>70000</v>
      </c>
    </row>
    <row r="19" spans="2:19">
      <c r="O19" t="str">
        <f>O15&amp;O16&amp;O17&amp;O18</f>
        <v/>
      </c>
      <c r="P19" t="str">
        <f>P15&amp;P16&amp;P17&amp;P18</f>
        <v/>
      </c>
      <c r="Q19" t="str">
        <f>Q15&amp;Q16&amp;Q17&amp;Q18</f>
        <v/>
      </c>
      <c r="R19" t="str">
        <f>R15&amp;R16&amp;R17&amp;R18</f>
        <v/>
      </c>
      <c r="S19" t="str">
        <f>S15&amp;S16&amp;S17&amp;S18</f>
        <v/>
      </c>
    </row>
    <row r="20" spans="2:19">
      <c r="B20" s="35" t="s">
        <v>119</v>
      </c>
      <c r="C20" s="35" t="s">
        <v>120</v>
      </c>
      <c r="F20" s="31">
        <v>166</v>
      </c>
      <c r="I20" s="31">
        <v>166</v>
      </c>
      <c r="J20" s="31">
        <v>168</v>
      </c>
      <c r="K20" s="31">
        <v>170</v>
      </c>
      <c r="L20" s="31">
        <v>172</v>
      </c>
      <c r="M20" s="31">
        <v>174</v>
      </c>
    </row>
    <row r="21" spans="2:19" ht="17.25" thickBot="1">
      <c r="B21" s="34">
        <v>95</v>
      </c>
      <c r="C21" s="34">
        <v>91</v>
      </c>
      <c r="F21" s="31">
        <v>168</v>
      </c>
    </row>
    <row r="22" spans="2:19" ht="17.25" thickBot="1">
      <c r="B22" s="34">
        <v>92</v>
      </c>
      <c r="C22" s="34">
        <v>93</v>
      </c>
      <c r="F22" s="31">
        <v>170</v>
      </c>
      <c r="I22" s="42"/>
      <c r="K22" s="42"/>
      <c r="L22" s="43"/>
      <c r="M22" s="43"/>
      <c r="N22" s="43"/>
      <c r="O22" s="43"/>
      <c r="P22" s="43"/>
    </row>
    <row r="23" spans="2:19" ht="17.25" thickBot="1">
      <c r="B23" s="34">
        <v>98</v>
      </c>
      <c r="C23" s="34">
        <v>97</v>
      </c>
      <c r="F23" s="31">
        <v>172</v>
      </c>
      <c r="H23" s="2" t="s">
        <v>146</v>
      </c>
      <c r="I23" s="44" t="s">
        <v>153</v>
      </c>
      <c r="J23" s="2" t="s">
        <v>147</v>
      </c>
      <c r="K23" s="2" t="s">
        <v>148</v>
      </c>
      <c r="L23" t="str">
        <f>H23&amp;I23&amp;J23&amp;K23</f>
        <v>'Intern',</v>
      </c>
      <c r="N23" t="str">
        <f t="shared" ref="N23:S23" si="0">N19&amp;N20&amp;N21&amp;N22</f>
        <v/>
      </c>
      <c r="O23" t="str">
        <f t="shared" si="0"/>
        <v/>
      </c>
      <c r="P23" t="str">
        <f t="shared" si="0"/>
        <v/>
      </c>
      <c r="Q23" t="str">
        <f t="shared" si="0"/>
        <v/>
      </c>
      <c r="R23" t="str">
        <f t="shared" si="0"/>
        <v/>
      </c>
      <c r="S23" t="str">
        <f t="shared" si="0"/>
        <v/>
      </c>
    </row>
    <row r="24" spans="2:19" ht="33.75" thickBot="1">
      <c r="B24" s="34">
        <v>100</v>
      </c>
      <c r="C24" s="34">
        <v>99</v>
      </c>
      <c r="F24" s="31">
        <v>174</v>
      </c>
      <c r="H24" s="2" t="s">
        <v>146</v>
      </c>
      <c r="I24" s="44" t="s">
        <v>155</v>
      </c>
      <c r="J24" s="2" t="s">
        <v>147</v>
      </c>
      <c r="K24" s="2" t="s">
        <v>148</v>
      </c>
      <c r="L24" t="str">
        <f>H24&amp;I24&amp;J24&amp;K24</f>
        <v>'Team Lead',</v>
      </c>
    </row>
    <row r="25" spans="2:19" ht="17.25" thickBot="1">
      <c r="B25" s="39">
        <v>87</v>
      </c>
      <c r="C25" s="39">
        <v>85</v>
      </c>
      <c r="H25" s="2" t="s">
        <v>146</v>
      </c>
      <c r="I25" s="44" t="s">
        <v>157</v>
      </c>
      <c r="J25" s="2" t="s">
        <v>147</v>
      </c>
      <c r="K25" s="2" t="s">
        <v>148</v>
      </c>
      <c r="L25" t="str">
        <f>H25&amp;I25&amp;J25&amp;K25</f>
        <v>'Manager',</v>
      </c>
    </row>
    <row r="26" spans="2:19" ht="17.25" thickBot="1">
      <c r="B26" s="39">
        <v>89</v>
      </c>
      <c r="C26" s="39">
        <v>90</v>
      </c>
      <c r="H26" s="2" t="s">
        <v>146</v>
      </c>
      <c r="I26" s="44" t="s">
        <v>157</v>
      </c>
      <c r="J26" s="2" t="s">
        <v>147</v>
      </c>
      <c r="K26" s="2" t="s">
        <v>148</v>
      </c>
      <c r="L26" t="str">
        <f>H26&amp;I26&amp;J26&amp;K26</f>
        <v>'Manager',</v>
      </c>
    </row>
    <row r="27" spans="2:19" ht="17.25" thickBot="1">
      <c r="H27" s="2"/>
      <c r="I27" s="44"/>
      <c r="J27" s="2"/>
      <c r="K27" s="2"/>
    </row>
    <row r="28" spans="2:19" s="1" customFormat="1">
      <c r="B28" s="1" t="s">
        <v>125</v>
      </c>
    </row>
    <row r="29" spans="2:19">
      <c r="H29" t="s">
        <v>139</v>
      </c>
      <c r="L29" t="s">
        <v>140</v>
      </c>
    </row>
    <row r="30" spans="2:19">
      <c r="B30" s="40" t="s">
        <v>126</v>
      </c>
      <c r="C30" s="40" t="s">
        <v>132</v>
      </c>
      <c r="D30" s="40" t="s">
        <v>138</v>
      </c>
      <c r="E30" s="31"/>
      <c r="H30" s="40" t="s">
        <v>126</v>
      </c>
      <c r="I30" s="40" t="s">
        <v>132</v>
      </c>
      <c r="J30" s="40" t="s">
        <v>138</v>
      </c>
      <c r="L30" s="41" t="s">
        <v>127</v>
      </c>
    </row>
    <row r="31" spans="2:19">
      <c r="B31" s="41" t="s">
        <v>127</v>
      </c>
      <c r="C31" s="31" t="s">
        <v>133</v>
      </c>
      <c r="D31" s="31">
        <v>166</v>
      </c>
      <c r="E31" s="31"/>
      <c r="L31" s="41" t="s">
        <v>128</v>
      </c>
    </row>
    <row r="32" spans="2:19">
      <c r="B32" s="41" t="s">
        <v>128</v>
      </c>
      <c r="C32" s="31" t="s">
        <v>134</v>
      </c>
      <c r="D32" s="31">
        <v>168</v>
      </c>
      <c r="E32" s="31"/>
      <c r="L32" s="41" t="s">
        <v>129</v>
      </c>
    </row>
    <row r="33" spans="2:12">
      <c r="B33" s="41" t="s">
        <v>129</v>
      </c>
      <c r="C33" s="31" t="s">
        <v>135</v>
      </c>
      <c r="D33" s="31">
        <v>170</v>
      </c>
      <c r="E33" s="31"/>
      <c r="L33" s="41" t="s">
        <v>130</v>
      </c>
    </row>
    <row r="34" spans="2:12">
      <c r="B34" s="41" t="s">
        <v>130</v>
      </c>
      <c r="C34" s="31" t="s">
        <v>136</v>
      </c>
      <c r="D34" s="31">
        <v>172</v>
      </c>
      <c r="E34" s="31"/>
      <c r="L34" s="41" t="s">
        <v>131</v>
      </c>
    </row>
    <row r="35" spans="2:12">
      <c r="B35" s="41" t="s">
        <v>131</v>
      </c>
      <c r="C35" s="31" t="s">
        <v>137</v>
      </c>
      <c r="D35" s="31">
        <v>174</v>
      </c>
      <c r="E35" s="31"/>
    </row>
    <row r="40" spans="2:12" ht="17.25" thickBot="1">
      <c r="B40" s="519"/>
      <c r="C40" s="520"/>
      <c r="D40" s="520"/>
      <c r="F40" s="519"/>
      <c r="G40" s="520"/>
      <c r="H40" s="520"/>
    </row>
    <row r="41" spans="2:12" ht="18.75" thickBot="1">
      <c r="B41" s="46" t="s">
        <v>161</v>
      </c>
      <c r="C41" s="47" t="s">
        <v>162</v>
      </c>
      <c r="D41" s="48" t="s">
        <v>163</v>
      </c>
      <c r="F41" s="52" t="s">
        <v>161</v>
      </c>
      <c r="G41" s="53" t="s">
        <v>164</v>
      </c>
      <c r="H41" s="54" t="s">
        <v>165</v>
      </c>
    </row>
    <row r="42" spans="2:12" ht="17.25" thickBot="1">
      <c r="B42" s="43" t="s">
        <v>141</v>
      </c>
      <c r="C42" s="44" t="s">
        <v>149</v>
      </c>
      <c r="D42" s="45">
        <v>23</v>
      </c>
      <c r="F42" s="55" t="s">
        <v>143</v>
      </c>
      <c r="G42" s="56" t="s">
        <v>153</v>
      </c>
      <c r="H42" s="57">
        <v>25000</v>
      </c>
    </row>
    <row r="43" spans="2:12" ht="17.25" thickBot="1">
      <c r="B43" s="43" t="s">
        <v>142</v>
      </c>
      <c r="C43" s="44" t="s">
        <v>149</v>
      </c>
      <c r="D43" s="45">
        <v>31</v>
      </c>
      <c r="F43" s="43" t="s">
        <v>154</v>
      </c>
      <c r="G43" s="44" t="s">
        <v>155</v>
      </c>
      <c r="H43" s="45">
        <v>75000</v>
      </c>
    </row>
    <row r="44" spans="2:12" ht="17.25" thickBot="1">
      <c r="B44" s="55" t="s">
        <v>143</v>
      </c>
      <c r="C44" s="56" t="s">
        <v>149</v>
      </c>
      <c r="D44" s="57">
        <v>22</v>
      </c>
      <c r="F44" s="43" t="s">
        <v>156</v>
      </c>
      <c r="G44" s="44" t="s">
        <v>157</v>
      </c>
      <c r="H44" s="45">
        <v>90000</v>
      </c>
    </row>
    <row r="45" spans="2:12" ht="17.25" thickBot="1">
      <c r="B45" s="43" t="s">
        <v>144</v>
      </c>
      <c r="C45" s="44" t="s">
        <v>149</v>
      </c>
      <c r="D45" s="45">
        <v>36</v>
      </c>
      <c r="F45" s="55" t="s">
        <v>145</v>
      </c>
      <c r="G45" s="56" t="s">
        <v>157</v>
      </c>
      <c r="H45" s="57">
        <v>70000</v>
      </c>
    </row>
    <row r="46" spans="2:12" ht="17.25" thickBot="1">
      <c r="B46" s="55" t="s">
        <v>145</v>
      </c>
      <c r="C46" s="56" t="s">
        <v>150</v>
      </c>
      <c r="D46" s="57">
        <v>30</v>
      </c>
    </row>
    <row r="50" spans="2:10" ht="17.25" thickBot="1"/>
    <row r="51" spans="2:10" ht="18.75" thickBot="1">
      <c r="B51" s="46" t="s">
        <v>161</v>
      </c>
      <c r="C51" s="47" t="s">
        <v>162</v>
      </c>
      <c r="D51" s="48" t="s">
        <v>163</v>
      </c>
      <c r="E51" s="53" t="s">
        <v>164</v>
      </c>
      <c r="F51" s="54" t="s">
        <v>165</v>
      </c>
    </row>
    <row r="52" spans="2:10" ht="17.25" thickBot="1">
      <c r="B52" s="43" t="s">
        <v>141</v>
      </c>
      <c r="C52" s="44" t="s">
        <v>149</v>
      </c>
      <c r="D52" s="45">
        <v>23</v>
      </c>
      <c r="E52" s="58"/>
      <c r="F52" s="58"/>
    </row>
    <row r="53" spans="2:10" ht="17.25" thickBot="1">
      <c r="B53" s="43" t="s">
        <v>142</v>
      </c>
      <c r="C53" s="44" t="s">
        <v>149</v>
      </c>
      <c r="D53" s="45">
        <v>31</v>
      </c>
      <c r="E53" s="58"/>
      <c r="F53" s="58"/>
    </row>
    <row r="54" spans="2:10" ht="17.25" thickBot="1">
      <c r="B54" s="49" t="s">
        <v>143</v>
      </c>
      <c r="C54" s="50" t="s">
        <v>149</v>
      </c>
      <c r="D54" s="51">
        <v>22</v>
      </c>
      <c r="E54" s="50" t="s">
        <v>153</v>
      </c>
      <c r="F54" s="51">
        <v>25000</v>
      </c>
    </row>
    <row r="55" spans="2:10" ht="17.25" thickBot="1">
      <c r="B55" s="43" t="s">
        <v>154</v>
      </c>
      <c r="C55" s="59"/>
      <c r="D55" s="60"/>
      <c r="E55" s="44" t="s">
        <v>155</v>
      </c>
      <c r="F55" s="45">
        <v>75000</v>
      </c>
    </row>
    <row r="56" spans="2:10" ht="17.25" thickBot="1">
      <c r="B56" s="43" t="s">
        <v>156</v>
      </c>
      <c r="C56" s="58"/>
      <c r="D56" s="58"/>
      <c r="E56" s="44" t="s">
        <v>157</v>
      </c>
      <c r="F56" s="45">
        <v>90000</v>
      </c>
    </row>
    <row r="57" spans="2:10" ht="17.25" thickBot="1">
      <c r="B57" s="49" t="s">
        <v>145</v>
      </c>
      <c r="C57" s="50" t="s">
        <v>150</v>
      </c>
      <c r="D57" s="51">
        <v>30</v>
      </c>
      <c r="E57" s="50" t="s">
        <v>157</v>
      </c>
      <c r="F57" s="51">
        <v>70000</v>
      </c>
    </row>
    <row r="58" spans="2:10" ht="17.25" thickBot="1">
      <c r="B58" s="43" t="s">
        <v>144</v>
      </c>
      <c r="C58" s="44" t="s">
        <v>149</v>
      </c>
      <c r="D58" s="45">
        <v>36</v>
      </c>
      <c r="E58" s="58"/>
      <c r="F58" s="58"/>
    </row>
    <row r="61" spans="2:10" s="102" customFormat="1" ht="43.5" customHeight="1">
      <c r="B61" s="100" t="s">
        <v>281</v>
      </c>
      <c r="C61" s="101" t="s">
        <v>282</v>
      </c>
      <c r="D61" s="101"/>
      <c r="F61" s="102" t="s">
        <v>283</v>
      </c>
    </row>
    <row r="62" spans="2:10" s="84" customFormat="1"/>
    <row r="63" spans="2:10" s="84" customFormat="1">
      <c r="B63" s="84" t="s">
        <v>284</v>
      </c>
      <c r="D63" s="84" t="s">
        <v>285</v>
      </c>
    </row>
    <row r="64" spans="2:10" s="84" customFormat="1">
      <c r="B64" s="84" t="s">
        <v>286</v>
      </c>
      <c r="G64" s="103" t="s">
        <v>287</v>
      </c>
      <c r="H64" s="84" t="s">
        <v>288</v>
      </c>
      <c r="I64" s="84">
        <f>MAX(B70:B73)</f>
        <v>1</v>
      </c>
      <c r="J64" s="84">
        <f>MAX(C70:C73)</f>
        <v>18</v>
      </c>
    </row>
    <row r="65" spans="2:10" s="84" customFormat="1">
      <c r="H65" s="84" t="s">
        <v>289</v>
      </c>
      <c r="I65" s="84">
        <f>MIN(B70:B73)</f>
        <v>-1</v>
      </c>
      <c r="J65" s="84">
        <f>MIN(C70:C73)</f>
        <v>2</v>
      </c>
    </row>
    <row r="66" spans="2:10" s="84" customFormat="1">
      <c r="H66" s="104" t="s">
        <v>290</v>
      </c>
    </row>
    <row r="67" spans="2:10" s="84" customFormat="1">
      <c r="B67" s="84" t="s">
        <v>291</v>
      </c>
      <c r="H67" s="84" t="s">
        <v>292</v>
      </c>
    </row>
    <row r="68" spans="2:10" s="84" customFormat="1"/>
    <row r="69" spans="2:10" s="84" customFormat="1">
      <c r="B69" s="105" t="s">
        <v>293</v>
      </c>
      <c r="C69" s="105" t="s">
        <v>294</v>
      </c>
      <c r="G69" s="103" t="s">
        <v>295</v>
      </c>
      <c r="H69" s="103" t="s">
        <v>296</v>
      </c>
    </row>
    <row r="70" spans="2:10" s="84" customFormat="1">
      <c r="B70" s="84">
        <v>-1</v>
      </c>
      <c r="C70" s="84">
        <v>2</v>
      </c>
      <c r="G70" s="84">
        <f xml:space="preserve"> (B70-$I$65) / ($I$64-$I$65 )</f>
        <v>0</v>
      </c>
      <c r="H70" s="84">
        <f>(C70-$J$65) / ($J$64-$J$65)</f>
        <v>0</v>
      </c>
    </row>
    <row r="71" spans="2:10" s="84" customFormat="1">
      <c r="B71" s="84">
        <v>-0.5</v>
      </c>
      <c r="C71" s="84">
        <v>6</v>
      </c>
      <c r="G71" s="84">
        <f xml:space="preserve"> (B71-$I$65) / ($I$64-$I$65 )</f>
        <v>0.25</v>
      </c>
      <c r="H71" s="84">
        <f>(C71-$J$65) / ($J$64-$J$65)</f>
        <v>0.25</v>
      </c>
    </row>
    <row r="72" spans="2:10" s="84" customFormat="1">
      <c r="B72" s="84">
        <v>0</v>
      </c>
      <c r="C72" s="84">
        <v>10</v>
      </c>
      <c r="G72" s="84">
        <f xml:space="preserve"> (B72-$I$65) / ($I$64-$I$65 )</f>
        <v>0.5</v>
      </c>
      <c r="H72" s="84">
        <f>(C72-$J$65) / ($J$64-$J$65)</f>
        <v>0.5</v>
      </c>
    </row>
    <row r="73" spans="2:10" s="84" customFormat="1">
      <c r="B73" s="84">
        <v>1</v>
      </c>
      <c r="C73" s="84">
        <v>18</v>
      </c>
      <c r="G73" s="84">
        <f xml:space="preserve"> (B73-$I$65) / ($I$64-$I$65 )</f>
        <v>1</v>
      </c>
      <c r="H73" s="84">
        <f>(C73-$J$65) / ($J$64-$J$65)</f>
        <v>1</v>
      </c>
    </row>
    <row r="74" spans="2:10" s="84" customFormat="1"/>
    <row r="75" spans="2:10" s="84" customFormat="1">
      <c r="C75" s="84" t="s">
        <v>297</v>
      </c>
    </row>
    <row r="76" spans="2:10" s="84" customFormat="1">
      <c r="C76" s="84" t="s">
        <v>298</v>
      </c>
    </row>
    <row r="77" spans="2:10" s="84" customFormat="1"/>
    <row r="78" spans="2:10" s="84" customFormat="1">
      <c r="B78" s="106" t="s">
        <v>299</v>
      </c>
    </row>
    <row r="79" spans="2:10" s="84" customFormat="1">
      <c r="B79" s="84" t="s">
        <v>300</v>
      </c>
    </row>
    <row r="80" spans="2:10" s="84" customFormat="1">
      <c r="D80" s="107" t="s">
        <v>301</v>
      </c>
      <c r="E80" s="107" t="s">
        <v>302</v>
      </c>
      <c r="F80" s="107" t="s">
        <v>303</v>
      </c>
      <c r="G80" s="107" t="s">
        <v>304</v>
      </c>
    </row>
    <row r="81" spans="2:8" s="84" customFormat="1">
      <c r="D81" s="84">
        <f>AVERAGE(B86:B90)</f>
        <v>170</v>
      </c>
      <c r="E81" s="84">
        <f>AVERAGE(C86:C90)</f>
        <v>69</v>
      </c>
      <c r="F81" s="84">
        <f>_xlfn.STDEV.P(B86:B90)</f>
        <v>2.8284271247461903</v>
      </c>
      <c r="G81" s="84">
        <f>_xlfn.STDEV.P(C86:C90)</f>
        <v>18.963122105813696</v>
      </c>
    </row>
    <row r="82" spans="2:8" s="84" customFormat="1">
      <c r="F82" s="518" t="s">
        <v>305</v>
      </c>
      <c r="G82" s="108" t="s">
        <v>306</v>
      </c>
    </row>
    <row r="83" spans="2:8" s="84" customFormat="1">
      <c r="F83" s="518"/>
      <c r="G83" s="107" t="s">
        <v>307</v>
      </c>
    </row>
    <row r="84" spans="2:8" s="84" customFormat="1">
      <c r="F84" s="521" t="s">
        <v>308</v>
      </c>
      <c r="H84" s="521" t="s">
        <v>309</v>
      </c>
    </row>
    <row r="85" spans="2:8" s="84" customFormat="1">
      <c r="B85" s="109" t="s">
        <v>310</v>
      </c>
      <c r="C85" s="109" t="s">
        <v>311</v>
      </c>
      <c r="F85" s="522"/>
      <c r="H85" s="522"/>
    </row>
    <row r="86" spans="2:8" s="84" customFormat="1">
      <c r="B86" s="69">
        <v>166</v>
      </c>
      <c r="C86" s="84">
        <v>55</v>
      </c>
      <c r="F86" s="84">
        <f>(B86-$D$81) / $F$81</f>
        <v>-1.4142135623730949</v>
      </c>
      <c r="H86" s="84">
        <f>(C86-$E$81) / $G$81</f>
        <v>-0.73827505417517159</v>
      </c>
    </row>
    <row r="87" spans="2:8" s="84" customFormat="1">
      <c r="B87" s="69">
        <v>168</v>
      </c>
      <c r="C87" s="84">
        <v>40</v>
      </c>
      <c r="F87" s="84">
        <f>(B87-$D$81) / $F$81</f>
        <v>-0.70710678118654746</v>
      </c>
      <c r="H87" s="84">
        <f>(C87-$E$81) / $G$81</f>
        <v>-1.5292840407914268</v>
      </c>
    </row>
    <row r="88" spans="2:8" s="84" customFormat="1">
      <c r="B88" s="69">
        <v>170</v>
      </c>
      <c r="C88" s="84">
        <v>80</v>
      </c>
      <c r="F88" s="84">
        <f>(B88-$D$81) / $F$81</f>
        <v>0</v>
      </c>
      <c r="H88" s="84">
        <f>(C88-$E$81) / $G$81</f>
        <v>0.58007325685192057</v>
      </c>
    </row>
    <row r="89" spans="2:8" s="84" customFormat="1">
      <c r="B89" s="69">
        <v>172</v>
      </c>
      <c r="C89" s="84">
        <v>93</v>
      </c>
      <c r="F89" s="84">
        <f>(B89-$D$81) / $F$81</f>
        <v>0.70710678118654746</v>
      </c>
      <c r="H89" s="84">
        <f>(C89-$E$81) / $G$81</f>
        <v>1.2656143785860083</v>
      </c>
    </row>
    <row r="90" spans="2:8" s="84" customFormat="1">
      <c r="B90" s="69">
        <v>174</v>
      </c>
      <c r="C90" s="84">
        <v>77</v>
      </c>
      <c r="F90" s="84">
        <f>(B90-$D$81) / $F$81</f>
        <v>1.4142135623730949</v>
      </c>
      <c r="H90" s="84">
        <f>(C90-$E$81) / $G$81</f>
        <v>0.42187145952866945</v>
      </c>
    </row>
    <row r="91" spans="2:8" s="84" customFormat="1"/>
    <row r="92" spans="2:8" s="84" customFormat="1"/>
    <row r="93" spans="2:8" s="102" customFormat="1">
      <c r="B93" s="102" t="s">
        <v>312</v>
      </c>
    </row>
    <row r="94" spans="2:8" s="84" customFormat="1">
      <c r="B94" s="84" t="s">
        <v>313</v>
      </c>
    </row>
    <row r="95" spans="2:8" s="84" customFormat="1"/>
    <row r="96" spans="2:8" s="84" customFormat="1">
      <c r="B96" s="110" t="s">
        <v>314</v>
      </c>
      <c r="C96" s="110" t="s">
        <v>315</v>
      </c>
    </row>
    <row r="97" spans="2:3" s="84" customFormat="1">
      <c r="B97" s="88">
        <v>1</v>
      </c>
      <c r="C97" s="88">
        <v>171</v>
      </c>
    </row>
    <row r="98" spans="2:3" s="84" customFormat="1">
      <c r="B98" s="88">
        <v>2</v>
      </c>
      <c r="C98" s="88">
        <v>152</v>
      </c>
    </row>
    <row r="99" spans="2:3" s="84" customFormat="1">
      <c r="B99" s="88">
        <v>3</v>
      </c>
      <c r="C99" s="88">
        <v>171</v>
      </c>
    </row>
    <row r="100" spans="2:3" s="84" customFormat="1">
      <c r="B100" s="88">
        <v>4</v>
      </c>
      <c r="C100" s="88">
        <v>142</v>
      </c>
    </row>
    <row r="101" spans="2:3" s="84" customFormat="1">
      <c r="B101" s="88">
        <v>5</v>
      </c>
      <c r="C101" s="88">
        <v>153</v>
      </c>
    </row>
    <row r="102" spans="2:3" s="84" customFormat="1">
      <c r="B102" s="88">
        <v>6</v>
      </c>
      <c r="C102" s="88">
        <v>168</v>
      </c>
    </row>
    <row r="103" spans="2:3" s="84" customFormat="1">
      <c r="B103" s="88">
        <v>7</v>
      </c>
      <c r="C103" s="88">
        <v>150</v>
      </c>
    </row>
    <row r="104" spans="2:3" s="84" customFormat="1">
      <c r="B104" s="88">
        <v>8</v>
      </c>
      <c r="C104" s="111">
        <v>500</v>
      </c>
    </row>
    <row r="105" spans="2:3" s="84" customFormat="1">
      <c r="B105" s="88">
        <v>9</v>
      </c>
      <c r="C105" s="88">
        <v>170</v>
      </c>
    </row>
    <row r="106" spans="2:3" s="84" customFormat="1">
      <c r="B106" s="88">
        <v>10</v>
      </c>
      <c r="C106" s="88">
        <v>143</v>
      </c>
    </row>
    <row r="107" spans="2:3" s="84" customFormat="1">
      <c r="B107" s="88">
        <v>11</v>
      </c>
      <c r="C107" s="88">
        <v>144</v>
      </c>
    </row>
    <row r="108" spans="2:3" s="84" customFormat="1">
      <c r="B108" s="88">
        <v>12</v>
      </c>
      <c r="C108" s="88">
        <v>181</v>
      </c>
    </row>
    <row r="109" spans="2:3" s="84" customFormat="1">
      <c r="B109" s="88">
        <v>13</v>
      </c>
      <c r="C109" s="88">
        <v>178</v>
      </c>
    </row>
    <row r="110" spans="2:3" s="84" customFormat="1">
      <c r="B110" s="88">
        <v>14</v>
      </c>
      <c r="C110" s="88">
        <v>175</v>
      </c>
    </row>
    <row r="111" spans="2:3" s="84" customFormat="1">
      <c r="B111" s="88">
        <v>15</v>
      </c>
      <c r="C111" s="88">
        <v>170</v>
      </c>
    </row>
    <row r="112" spans="2:3" s="84" customFormat="1">
      <c r="B112" s="88">
        <v>16</v>
      </c>
      <c r="C112" s="88">
        <v>157</v>
      </c>
    </row>
    <row r="113" spans="2:8" s="84" customFormat="1">
      <c r="B113" s="88">
        <v>17</v>
      </c>
      <c r="C113" s="88">
        <v>150</v>
      </c>
    </row>
    <row r="114" spans="2:8" s="84" customFormat="1">
      <c r="B114" s="88">
        <v>18</v>
      </c>
      <c r="C114" s="88">
        <v>176</v>
      </c>
    </row>
    <row r="115" spans="2:8" s="84" customFormat="1">
      <c r="B115" s="88">
        <v>19</v>
      </c>
      <c r="C115" s="88">
        <v>154</v>
      </c>
    </row>
    <row r="116" spans="2:8" s="84" customFormat="1">
      <c r="B116" s="88">
        <v>20</v>
      </c>
      <c r="C116" s="88">
        <v>150</v>
      </c>
    </row>
    <row r="117" spans="2:8" s="84" customFormat="1">
      <c r="B117" s="88">
        <v>21</v>
      </c>
      <c r="C117" s="88">
        <v>170</v>
      </c>
    </row>
    <row r="118" spans="2:8" s="84" customFormat="1">
      <c r="B118" s="88">
        <v>22</v>
      </c>
      <c r="C118" s="88">
        <v>177</v>
      </c>
    </row>
    <row r="119" spans="2:8" s="84" customFormat="1">
      <c r="B119" s="88">
        <v>23</v>
      </c>
      <c r="C119" s="88">
        <v>173</v>
      </c>
    </row>
    <row r="120" spans="2:8" s="84" customFormat="1">
      <c r="B120" s="88">
        <v>24</v>
      </c>
      <c r="C120" s="88">
        <v>172</v>
      </c>
      <c r="E120" s="112" t="s">
        <v>316</v>
      </c>
      <c r="F120" s="113">
        <f>MAX(C97:C126)</f>
        <v>500</v>
      </c>
    </row>
    <row r="121" spans="2:8" s="84" customFormat="1">
      <c r="B121" s="88">
        <v>25</v>
      </c>
      <c r="C121" s="88">
        <v>143</v>
      </c>
      <c r="E121" s="112" t="s">
        <v>317</v>
      </c>
      <c r="F121" s="114">
        <f>_xlfn.QUARTILE.EXC(C97:C126,3)</f>
        <v>173.5</v>
      </c>
    </row>
    <row r="122" spans="2:8" s="84" customFormat="1">
      <c r="B122" s="88">
        <v>26</v>
      </c>
      <c r="C122" s="88">
        <v>182</v>
      </c>
      <c r="E122" s="112" t="s">
        <v>318</v>
      </c>
      <c r="F122" s="113">
        <f>AVERAGE(C97:C126)</f>
        <v>172.13333333333333</v>
      </c>
    </row>
    <row r="123" spans="2:8" s="84" customFormat="1">
      <c r="B123" s="88">
        <v>27</v>
      </c>
      <c r="C123" s="88">
        <v>143</v>
      </c>
      <c r="E123" s="112" t="s">
        <v>319</v>
      </c>
      <c r="F123" s="114">
        <f>MEDIAN(C97:C126)</f>
        <v>162.5</v>
      </c>
      <c r="H123" s="84">
        <f>_xlfn.QUARTILE.EXC(C97:C126,2)</f>
        <v>162.5</v>
      </c>
    </row>
    <row r="124" spans="2:8" s="84" customFormat="1">
      <c r="B124" s="88">
        <v>28</v>
      </c>
      <c r="C124" s="88">
        <v>149</v>
      </c>
      <c r="E124" s="112" t="s">
        <v>320</v>
      </c>
      <c r="F124" s="114">
        <f>_xlfn.QUARTILE.EXC(C98:C127,1)</f>
        <v>149.5</v>
      </c>
    </row>
    <row r="125" spans="2:8" s="84" customFormat="1">
      <c r="B125" s="88">
        <v>29</v>
      </c>
      <c r="C125" s="88">
        <v>153</v>
      </c>
      <c r="E125" s="112" t="s">
        <v>321</v>
      </c>
      <c r="F125" s="114">
        <f>MIN(C97:C126)</f>
        <v>142</v>
      </c>
    </row>
    <row r="126" spans="2:8" s="84" customFormat="1">
      <c r="B126" s="88">
        <v>30</v>
      </c>
      <c r="C126" s="88">
        <v>147</v>
      </c>
    </row>
    <row r="127" spans="2:8" s="84" customFormat="1"/>
    <row r="145" spans="8:15">
      <c r="J145" t="s">
        <v>1540</v>
      </c>
      <c r="K145">
        <f>MIN($I$151:$I$155)</f>
        <v>166</v>
      </c>
      <c r="N145" t="s">
        <v>1541</v>
      </c>
      <c r="O145">
        <f>AVERAGE($I$151:$I$155)</f>
        <v>170</v>
      </c>
    </row>
    <row r="146" spans="8:15">
      <c r="J146" t="s">
        <v>1539</v>
      </c>
      <c r="K146">
        <f>MAX($I$151:$I$155) -MIN($I$151:$I$155)</f>
        <v>8</v>
      </c>
      <c r="N146" t="s">
        <v>1542</v>
      </c>
      <c r="O146">
        <f>_xlfn.STDEV.P($I$151:$I$155)</f>
        <v>2.8284271247461903</v>
      </c>
    </row>
    <row r="150" spans="8:15">
      <c r="H150" t="s">
        <v>1536</v>
      </c>
      <c r="K150" t="s">
        <v>1537</v>
      </c>
      <c r="N150" t="s">
        <v>1538</v>
      </c>
    </row>
    <row r="151" spans="8:15">
      <c r="I151">
        <v>166</v>
      </c>
      <c r="K151">
        <f>(I151-$K$145) / $K$146</f>
        <v>0</v>
      </c>
      <c r="N151">
        <f>(I151-$O$145) / $O$146</f>
        <v>-1.4142135623730949</v>
      </c>
    </row>
    <row r="152" spans="8:15">
      <c r="I152">
        <v>168</v>
      </c>
      <c r="K152">
        <f>(I152-$K$145) / $K$146</f>
        <v>0.25</v>
      </c>
      <c r="N152">
        <f>(I152-$O$145) / $O$146</f>
        <v>-0.70710678118654746</v>
      </c>
    </row>
    <row r="153" spans="8:15">
      <c r="I153">
        <v>170</v>
      </c>
      <c r="K153">
        <f>(I153-$K$145) / $K$146</f>
        <v>0.5</v>
      </c>
      <c r="N153">
        <f>(I153-$O$145) / $O$146</f>
        <v>0</v>
      </c>
    </row>
    <row r="154" spans="8:15">
      <c r="I154">
        <v>172</v>
      </c>
      <c r="K154">
        <f>(I154-$K$145) / $K$146</f>
        <v>0.75</v>
      </c>
      <c r="N154">
        <f>(I154-$O$145) / $O$146</f>
        <v>0.70710678118654746</v>
      </c>
    </row>
    <row r="155" spans="8:15">
      <c r="I155">
        <v>174</v>
      </c>
      <c r="K155">
        <f>(I155-$K$145) / $K$146</f>
        <v>1</v>
      </c>
      <c r="N155">
        <f>(I155-$O$145) / $O$146</f>
        <v>1.4142135623730949</v>
      </c>
    </row>
  </sheetData>
  <mergeCells count="6">
    <mergeCell ref="J14:L14"/>
    <mergeCell ref="B40:D40"/>
    <mergeCell ref="F40:H40"/>
    <mergeCell ref="F82:F83"/>
    <mergeCell ref="F84:F85"/>
    <mergeCell ref="H84:H85"/>
  </mergeCells>
  <phoneticPr fontId="5" type="noConversion"/>
  <pageMargins left="0.7" right="0.7" top="0.75" bottom="0.75" header="0.3" footer="0.3"/>
  <pageSetup paperSize="9"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dimension ref="A1:AQ57"/>
  <sheetViews>
    <sheetView showGridLines="0" topLeftCell="G6" zoomScaleNormal="100" workbookViewId="0">
      <selection activeCell="X32" sqref="X32"/>
    </sheetView>
  </sheetViews>
  <sheetFormatPr defaultRowHeight="16.5"/>
  <cols>
    <col min="15" max="15" width="9.875" bestFit="1" customWidth="1"/>
    <col min="18" max="20" width="3.875" customWidth="1"/>
    <col min="21" max="23" width="5.25" customWidth="1"/>
    <col min="24" max="24" width="4.5" customWidth="1"/>
    <col min="25" max="28" width="3.625" customWidth="1"/>
    <col min="29" max="29" width="8.125" customWidth="1"/>
    <col min="30" max="32" width="4.5" customWidth="1"/>
    <col min="35" max="35" width="4.75" customWidth="1"/>
  </cols>
  <sheetData>
    <row r="1" spans="7:43">
      <c r="Q1" t="s">
        <v>675</v>
      </c>
    </row>
    <row r="2" spans="7:43">
      <c r="G2" s="473" t="s">
        <v>2795</v>
      </c>
      <c r="Q2" s="129"/>
    </row>
    <row r="3" spans="7:43">
      <c r="Q3" s="129" t="s">
        <v>676</v>
      </c>
    </row>
    <row r="4" spans="7:43">
      <c r="J4" t="s">
        <v>659</v>
      </c>
      <c r="M4" t="s">
        <v>2794</v>
      </c>
      <c r="Q4" s="129" t="s">
        <v>677</v>
      </c>
      <c r="X4" t="s">
        <v>678</v>
      </c>
      <c r="AC4" s="127">
        <f>288+32</f>
        <v>320</v>
      </c>
    </row>
    <row r="5" spans="7:43">
      <c r="K5" t="s">
        <v>660</v>
      </c>
      <c r="P5" t="s">
        <v>2793</v>
      </c>
      <c r="R5" s="529" t="s">
        <v>670</v>
      </c>
      <c r="S5" s="529"/>
      <c r="T5" s="529"/>
    </row>
    <row r="6" spans="7:43">
      <c r="R6" s="208"/>
      <c r="S6" s="208"/>
      <c r="T6" s="208"/>
      <c r="X6" s="529" t="s">
        <v>655</v>
      </c>
      <c r="Y6" s="529"/>
      <c r="Z6" s="529"/>
      <c r="AA6" s="94"/>
      <c r="AB6" s="94"/>
      <c r="AC6" s="94"/>
      <c r="AD6" s="94"/>
      <c r="AE6" s="94"/>
      <c r="AF6" s="94"/>
    </row>
    <row r="7" spans="7:43">
      <c r="L7" s="125"/>
      <c r="R7" s="208"/>
      <c r="S7" s="208"/>
      <c r="T7" s="208"/>
      <c r="U7" s="541"/>
      <c r="V7" s="541"/>
      <c r="W7" s="541"/>
      <c r="X7" s="208"/>
      <c r="Y7" s="208"/>
      <c r="Z7" s="208"/>
      <c r="AA7" s="12"/>
      <c r="AB7" s="12"/>
      <c r="AC7" s="12"/>
      <c r="AD7" s="12"/>
      <c r="AE7" s="12"/>
      <c r="AF7" s="12"/>
    </row>
    <row r="8" spans="7:43">
      <c r="R8" s="208"/>
      <c r="S8" s="208"/>
      <c r="T8" s="208"/>
      <c r="U8" s="12"/>
      <c r="V8" s="12"/>
      <c r="W8" s="12"/>
      <c r="X8" s="208"/>
      <c r="Y8" s="208"/>
      <c r="Z8" s="208"/>
      <c r="AA8" s="12"/>
      <c r="AB8" s="12"/>
      <c r="AC8" s="12"/>
      <c r="AD8" s="12"/>
      <c r="AE8" s="12"/>
      <c r="AF8" s="12"/>
    </row>
    <row r="9" spans="7:43">
      <c r="R9" s="94"/>
      <c r="S9" s="12"/>
      <c r="T9" s="12"/>
      <c r="U9" s="12"/>
      <c r="V9" s="12"/>
      <c r="W9" s="12"/>
      <c r="X9" s="208"/>
      <c r="Y9" s="208"/>
      <c r="Z9" s="208"/>
      <c r="AA9" s="12"/>
      <c r="AB9" s="214"/>
      <c r="AC9" s="12"/>
      <c r="AD9" s="12"/>
      <c r="AE9" s="12"/>
      <c r="AF9" s="12"/>
    </row>
    <row r="10" spans="7:43">
      <c r="M10" t="s">
        <v>654</v>
      </c>
      <c r="U10" s="12"/>
      <c r="V10" t="s">
        <v>654</v>
      </c>
      <c r="W10" s="12"/>
      <c r="X10" s="94"/>
      <c r="Y10" s="12"/>
      <c r="Z10" s="12"/>
      <c r="AA10" s="12"/>
      <c r="AB10" s="12"/>
      <c r="AC10" s="12"/>
      <c r="AD10" s="12"/>
      <c r="AE10" s="12"/>
      <c r="AF10" s="12"/>
      <c r="AL10" t="s">
        <v>389</v>
      </c>
    </row>
    <row r="11" spans="7:43">
      <c r="M11" s="1"/>
      <c r="N11" s="119"/>
      <c r="O11" s="119"/>
      <c r="P11" s="119"/>
      <c r="U11" s="94"/>
      <c r="V11" s="1"/>
      <c r="W11" s="12"/>
      <c r="AL11" s="1"/>
      <c r="AM11" s="119"/>
      <c r="AN11" s="119"/>
    </row>
    <row r="12" spans="7:43">
      <c r="M12" s="1"/>
      <c r="N12" s="119"/>
      <c r="O12" s="119"/>
      <c r="P12" s="119"/>
      <c r="Q12" s="180"/>
      <c r="R12" s="180"/>
      <c r="S12" s="180"/>
      <c r="T12" s="180"/>
      <c r="V12" s="1"/>
      <c r="AL12" s="1"/>
      <c r="AM12" s="119"/>
      <c r="AN12" s="119"/>
    </row>
    <row r="13" spans="7:43">
      <c r="M13" s="1"/>
      <c r="N13" s="119"/>
      <c r="O13" s="119"/>
      <c r="P13" s="119"/>
      <c r="U13" s="126"/>
      <c r="V13" s="1"/>
      <c r="AL13" s="1"/>
      <c r="AM13" s="119"/>
      <c r="AN13" s="119"/>
      <c r="AP13" s="1"/>
    </row>
    <row r="14" spans="7:43">
      <c r="M14" s="1"/>
      <c r="N14" s="119"/>
      <c r="O14" s="119"/>
      <c r="P14" s="119"/>
      <c r="R14" s="516" t="s">
        <v>656</v>
      </c>
      <c r="S14" s="516"/>
      <c r="T14" s="516"/>
      <c r="V14" s="1"/>
      <c r="Y14" s="516" t="s">
        <v>656</v>
      </c>
      <c r="Z14" s="516"/>
      <c r="AA14" s="516"/>
      <c r="AB14" s="180"/>
      <c r="AC14" s="180"/>
      <c r="AD14" s="180"/>
      <c r="AG14" t="s">
        <v>658</v>
      </c>
      <c r="AL14" s="1"/>
      <c r="AM14" s="119"/>
      <c r="AN14" t="s">
        <v>657</v>
      </c>
      <c r="AP14" s="1"/>
    </row>
    <row r="15" spans="7:43">
      <c r="M15" s="1"/>
      <c r="N15" s="119"/>
      <c r="O15" s="516" t="s">
        <v>673</v>
      </c>
      <c r="P15" s="516"/>
      <c r="R15" s="161"/>
      <c r="S15" s="161"/>
      <c r="T15" s="161"/>
      <c r="U15" s="180"/>
      <c r="V15" s="1"/>
      <c r="Y15" s="161"/>
      <c r="Z15" s="161"/>
      <c r="AA15" s="161"/>
      <c r="AB15" s="161"/>
      <c r="AC15" s="119"/>
      <c r="AD15" s="516" t="s">
        <v>673</v>
      </c>
      <c r="AE15" s="516"/>
      <c r="AG15" s="117"/>
      <c r="AH15" s="119"/>
      <c r="AL15" s="1"/>
      <c r="AM15" s="119"/>
      <c r="AN15" s="187"/>
      <c r="AP15" s="1"/>
      <c r="AQ15">
        <v>0</v>
      </c>
    </row>
    <row r="16" spans="7:43">
      <c r="M16" s="1"/>
      <c r="N16" s="119"/>
      <c r="O16" s="543" t="s">
        <v>664</v>
      </c>
      <c r="P16" s="543"/>
      <c r="R16" s="161"/>
      <c r="S16" s="161"/>
      <c r="T16" s="161"/>
      <c r="V16" s="1"/>
      <c r="Y16" s="161"/>
      <c r="Z16" s="161"/>
      <c r="AA16" s="161"/>
      <c r="AB16" s="161"/>
      <c r="AC16" s="119"/>
      <c r="AD16" s="544" t="s">
        <v>664</v>
      </c>
      <c r="AE16" s="545"/>
      <c r="AG16" s="117"/>
      <c r="AH16" s="119"/>
      <c r="AL16" s="1"/>
      <c r="AM16" s="119"/>
      <c r="AN16" s="187"/>
      <c r="AP16" s="1"/>
      <c r="AQ16">
        <v>1</v>
      </c>
    </row>
    <row r="17" spans="3:43">
      <c r="M17" s="1"/>
      <c r="N17" s="119"/>
      <c r="O17" s="119"/>
      <c r="P17" s="119"/>
      <c r="R17" s="161"/>
      <c r="S17" s="161"/>
      <c r="T17" s="161"/>
      <c r="V17" s="1"/>
      <c r="Y17" s="161"/>
      <c r="Z17" s="161"/>
      <c r="AA17" s="161"/>
      <c r="AB17" s="161"/>
      <c r="AC17" s="119"/>
      <c r="AD17" s="119"/>
      <c r="AE17" s="119"/>
      <c r="AG17" s="117"/>
      <c r="AH17" s="119"/>
      <c r="AL17" s="1"/>
      <c r="AM17" s="119"/>
      <c r="AN17" s="187"/>
      <c r="AP17" s="1"/>
    </row>
    <row r="18" spans="3:43">
      <c r="M18" s="1"/>
      <c r="N18" s="119"/>
      <c r="O18" s="161"/>
      <c r="P18" s="161"/>
      <c r="R18" s="161"/>
      <c r="S18" s="161"/>
      <c r="T18" s="161"/>
      <c r="V18" s="1"/>
      <c r="Y18" s="161"/>
      <c r="Z18" s="161"/>
      <c r="AA18" s="161"/>
      <c r="AB18" s="161"/>
      <c r="AC18" s="119"/>
      <c r="AD18" s="161"/>
      <c r="AE18" s="161"/>
      <c r="AG18" s="117"/>
      <c r="AH18" s="119"/>
      <c r="AL18" s="1"/>
      <c r="AM18" s="119"/>
      <c r="AN18" s="187"/>
      <c r="AP18" s="1"/>
    </row>
    <row r="19" spans="3:43">
      <c r="M19" s="1"/>
      <c r="N19" s="119"/>
      <c r="O19" s="161"/>
      <c r="P19" s="161"/>
      <c r="R19" s="161"/>
      <c r="S19" s="161"/>
      <c r="T19" s="161"/>
      <c r="V19" s="1"/>
      <c r="Y19" s="119"/>
      <c r="Z19" s="119"/>
      <c r="AA19" s="119"/>
      <c r="AB19" s="119"/>
      <c r="AC19" s="119"/>
      <c r="AD19" s="161"/>
      <c r="AE19" s="161"/>
      <c r="AG19" s="117"/>
      <c r="AH19" s="119"/>
      <c r="AL19" s="1"/>
      <c r="AM19" s="119"/>
      <c r="AN19" s="187"/>
      <c r="AP19" s="1"/>
      <c r="AQ19" s="518"/>
    </row>
    <row r="20" spans="3:43">
      <c r="M20" s="1"/>
      <c r="N20" s="119"/>
      <c r="O20" s="119"/>
      <c r="P20" s="119"/>
      <c r="V20" s="1"/>
      <c r="AL20" s="1"/>
      <c r="AM20" s="119"/>
      <c r="AN20" s="119"/>
      <c r="AP20" s="1"/>
      <c r="AQ20" s="518"/>
    </row>
    <row r="21" spans="3:43">
      <c r="M21" s="1"/>
      <c r="N21" s="119"/>
      <c r="O21" s="119"/>
      <c r="P21" s="119"/>
      <c r="R21" s="542"/>
      <c r="S21" s="542"/>
      <c r="T21" s="542"/>
      <c r="V21" s="1"/>
      <c r="AL21" s="1"/>
      <c r="AM21" s="119"/>
      <c r="AN21" s="119"/>
      <c r="AP21" s="1"/>
      <c r="AQ21" s="198">
        <v>9</v>
      </c>
    </row>
    <row r="22" spans="3:43">
      <c r="M22" s="1"/>
      <c r="N22" s="119"/>
      <c r="O22" s="119" t="s">
        <v>705</v>
      </c>
      <c r="P22" s="119"/>
      <c r="R22" s="212"/>
      <c r="S22" s="212"/>
      <c r="T22" s="212"/>
      <c r="V22" s="1"/>
      <c r="X22" s="217"/>
      <c r="Y22" s="119" t="s">
        <v>705</v>
      </c>
      <c r="Z22" s="217"/>
      <c r="AL22" s="1"/>
      <c r="AM22" s="119"/>
      <c r="AN22" s="119"/>
    </row>
    <row r="23" spans="3:43">
      <c r="M23" s="1"/>
      <c r="N23" s="119"/>
      <c r="O23" s="119" t="s">
        <v>706</v>
      </c>
      <c r="P23" s="119"/>
      <c r="R23" s="212"/>
      <c r="S23" s="212"/>
      <c r="T23" s="212"/>
      <c r="V23" s="1"/>
      <c r="X23" s="212"/>
      <c r="Y23" s="119" t="s">
        <v>709</v>
      </c>
      <c r="Z23" s="212"/>
      <c r="AL23" s="1"/>
      <c r="AM23" s="119"/>
      <c r="AN23" s="119"/>
    </row>
    <row r="24" spans="3:43">
      <c r="M24" s="1"/>
      <c r="N24" s="119"/>
      <c r="O24" s="119" t="s">
        <v>707</v>
      </c>
      <c r="P24" s="119"/>
      <c r="V24" s="1"/>
      <c r="X24" s="212"/>
      <c r="Y24" s="119" t="s">
        <v>707</v>
      </c>
      <c r="Z24" s="212"/>
      <c r="AL24" s="1"/>
      <c r="AM24" s="119"/>
      <c r="AN24" s="119"/>
    </row>
    <row r="25" spans="3:43">
      <c r="M25" s="1"/>
      <c r="N25" s="119"/>
      <c r="O25" s="216">
        <f>28 /2</f>
        <v>14</v>
      </c>
      <c r="P25" s="119">
        <v>14</v>
      </c>
      <c r="R25" t="s">
        <v>708</v>
      </c>
      <c r="V25" s="1"/>
      <c r="Y25">
        <v>7</v>
      </c>
      <c r="Z25">
        <v>7</v>
      </c>
      <c r="AL25" s="1"/>
      <c r="AM25" s="119"/>
      <c r="AN25" s="119"/>
    </row>
    <row r="26" spans="3:43">
      <c r="M26" s="210">
        <v>32</v>
      </c>
      <c r="N26" s="210"/>
      <c r="O26" s="210"/>
      <c r="P26" s="210"/>
      <c r="V26">
        <v>64</v>
      </c>
      <c r="X26" s="211"/>
      <c r="Z26" s="211"/>
      <c r="AL26">
        <v>100</v>
      </c>
      <c r="AP26">
        <v>10</v>
      </c>
    </row>
    <row r="27" spans="3:43">
      <c r="R27" s="161"/>
      <c r="S27" s="161"/>
      <c r="T27" s="161"/>
      <c r="AB27" t="s">
        <v>679</v>
      </c>
      <c r="AG27" s="137">
        <f>Y25*Z25*V26</f>
        <v>3136</v>
      </c>
    </row>
    <row r="28" spans="3:43">
      <c r="R28" s="161"/>
      <c r="S28" s="161"/>
      <c r="T28" s="161"/>
      <c r="U28" s="161"/>
      <c r="AC28" s="213">
        <f>288*64 +64</f>
        <v>18496</v>
      </c>
      <c r="AP28" s="3">
        <f>AL26*AP26+AP26</f>
        <v>1010</v>
      </c>
    </row>
    <row r="29" spans="3:43">
      <c r="R29" s="161"/>
      <c r="S29" s="161"/>
      <c r="T29" s="161"/>
      <c r="U29" s="161"/>
    </row>
    <row r="30" spans="3:43">
      <c r="R30" s="161"/>
      <c r="S30" s="161"/>
      <c r="T30" s="161"/>
      <c r="U30" s="161"/>
      <c r="AL30" s="3">
        <f>AG27*AL26+AL26</f>
        <v>313700</v>
      </c>
    </row>
    <row r="31" spans="3:43">
      <c r="C31" s="180" t="s">
        <v>661</v>
      </c>
      <c r="E31" t="s">
        <v>662</v>
      </c>
      <c r="R31" s="161"/>
      <c r="S31" s="161"/>
      <c r="T31" s="161"/>
      <c r="U31" s="161"/>
      <c r="X31" s="127" t="s">
        <v>2796</v>
      </c>
    </row>
    <row r="32" spans="3:43">
      <c r="S32" s="161"/>
      <c r="T32" s="161"/>
      <c r="U32" s="161"/>
      <c r="X32" s="127" t="s">
        <v>2797</v>
      </c>
      <c r="AG32" s="127"/>
    </row>
    <row r="33" spans="1:36">
      <c r="B33" s="209"/>
      <c r="C33" s="209"/>
      <c r="D33" s="209"/>
    </row>
    <row r="34" spans="1:36">
      <c r="A34" s="180" t="s">
        <v>663</v>
      </c>
      <c r="B34" s="209"/>
      <c r="C34" s="209"/>
      <c r="D34" s="209"/>
      <c r="AG34" t="s">
        <v>710</v>
      </c>
      <c r="AJ34">
        <f>AC4+AC28+AL30+AP28</f>
        <v>333526</v>
      </c>
    </row>
    <row r="35" spans="1:36">
      <c r="B35" s="209"/>
      <c r="C35" s="209"/>
      <c r="D35" s="209"/>
    </row>
    <row r="36" spans="1:36">
      <c r="B36" s="209"/>
      <c r="C36" s="209"/>
      <c r="D36" s="209"/>
    </row>
    <row r="37" spans="1:36">
      <c r="B37" s="209"/>
      <c r="C37" s="209"/>
      <c r="D37" s="209"/>
    </row>
    <row r="38" spans="1:36">
      <c r="B38" s="209"/>
      <c r="C38" s="209"/>
      <c r="D38" s="209"/>
      <c r="M38" s="122" t="s">
        <v>711</v>
      </c>
      <c r="N38" s="215"/>
      <c r="O38" s="215"/>
      <c r="P38" s="215"/>
      <c r="Z38" s="215"/>
    </row>
    <row r="39" spans="1:36">
      <c r="M39" s="122" t="s">
        <v>712</v>
      </c>
      <c r="N39" s="215"/>
      <c r="O39" s="215"/>
      <c r="P39" s="215"/>
      <c r="Z39" s="215"/>
    </row>
    <row r="40" spans="1:36">
      <c r="M40" s="122" t="s">
        <v>713</v>
      </c>
      <c r="N40" s="215"/>
      <c r="O40" s="215"/>
      <c r="P40" s="215"/>
      <c r="Z40" s="215"/>
    </row>
    <row r="41" spans="1:36">
      <c r="B41" s="209"/>
      <c r="C41" s="209"/>
      <c r="D41" s="209"/>
      <c r="M41" s="122" t="s">
        <v>714</v>
      </c>
      <c r="N41" s="215"/>
      <c r="O41" s="215"/>
      <c r="P41" s="215"/>
      <c r="Z41" s="215"/>
    </row>
    <row r="42" spans="1:36">
      <c r="B42" s="209"/>
      <c r="C42" s="209"/>
      <c r="D42" s="209"/>
      <c r="M42" s="122" t="s">
        <v>715</v>
      </c>
      <c r="N42" s="215"/>
      <c r="O42" s="215"/>
      <c r="P42" s="215"/>
      <c r="Z42" s="215"/>
    </row>
    <row r="43" spans="1:36">
      <c r="B43" s="209"/>
      <c r="C43" s="209"/>
      <c r="D43" s="209"/>
      <c r="M43" s="122" t="s">
        <v>714</v>
      </c>
      <c r="N43" s="215"/>
      <c r="O43" s="215"/>
      <c r="P43" s="215"/>
      <c r="Z43" s="215"/>
    </row>
    <row r="44" spans="1:36">
      <c r="B44" s="209"/>
      <c r="C44" s="209"/>
      <c r="D44" s="209"/>
      <c r="M44" s="122" t="s">
        <v>716</v>
      </c>
      <c r="N44" s="215"/>
      <c r="O44" s="215"/>
      <c r="P44" s="215"/>
      <c r="Z44" s="215"/>
    </row>
    <row r="45" spans="1:36">
      <c r="B45" s="209"/>
      <c r="C45" s="209"/>
      <c r="D45" s="209"/>
      <c r="M45" s="122" t="s">
        <v>717</v>
      </c>
      <c r="N45" s="215"/>
      <c r="O45" s="215"/>
      <c r="P45" s="215"/>
      <c r="Z45" s="215"/>
    </row>
    <row r="46" spans="1:36">
      <c r="B46" s="209"/>
      <c r="C46" s="209"/>
      <c r="D46" s="209"/>
      <c r="M46" s="122" t="s">
        <v>718</v>
      </c>
      <c r="N46" s="215"/>
      <c r="O46" s="215"/>
      <c r="P46" s="215"/>
    </row>
    <row r="47" spans="1:36">
      <c r="M47" s="122" t="s">
        <v>719</v>
      </c>
      <c r="N47" s="215"/>
      <c r="O47" s="215"/>
      <c r="P47" s="215"/>
    </row>
    <row r="48" spans="1:36">
      <c r="M48" s="122" t="s">
        <v>720</v>
      </c>
      <c r="N48" s="215"/>
      <c r="O48" s="215"/>
      <c r="P48" s="215"/>
    </row>
    <row r="49" spans="1:16">
      <c r="M49" s="215"/>
      <c r="N49" s="215"/>
      <c r="O49" s="215"/>
      <c r="P49" s="215"/>
    </row>
    <row r="50" spans="1:16">
      <c r="M50" s="215"/>
      <c r="N50" s="215"/>
      <c r="O50" s="215"/>
      <c r="P50" s="215"/>
    </row>
    <row r="51" spans="1:16" s="1" customFormat="1">
      <c r="I51" s="122" t="s">
        <v>721</v>
      </c>
      <c r="M51" s="218"/>
      <c r="N51" s="218"/>
      <c r="O51" s="218"/>
      <c r="P51" s="218"/>
    </row>
    <row r="52" spans="1:16">
      <c r="B52" s="209"/>
      <c r="C52" s="209"/>
      <c r="D52" s="209"/>
      <c r="M52" s="215"/>
      <c r="N52" s="215"/>
      <c r="O52" s="215"/>
      <c r="P52" s="215"/>
    </row>
    <row r="53" spans="1:16">
      <c r="B53" s="209"/>
      <c r="C53" s="209"/>
      <c r="D53" s="209"/>
      <c r="M53" s="215"/>
      <c r="N53" s="215"/>
      <c r="O53" s="215"/>
      <c r="P53" s="215"/>
    </row>
    <row r="54" spans="1:16">
      <c r="A54" t="s">
        <v>648</v>
      </c>
      <c r="B54" s="209"/>
      <c r="C54" s="209"/>
      <c r="D54" s="209"/>
      <c r="I54" s="219" t="s">
        <v>722</v>
      </c>
      <c r="M54" s="215"/>
      <c r="N54" s="215"/>
      <c r="O54" s="215"/>
      <c r="P54" s="215"/>
    </row>
    <row r="55" spans="1:16">
      <c r="B55" s="209"/>
      <c r="C55" s="209"/>
      <c r="D55" s="209"/>
      <c r="I55" s="219" t="s">
        <v>723</v>
      </c>
      <c r="M55" s="215" t="s">
        <v>724</v>
      </c>
      <c r="N55" s="215"/>
      <c r="O55" s="215"/>
      <c r="P55" s="215"/>
    </row>
    <row r="56" spans="1:16">
      <c r="B56" s="209"/>
      <c r="C56" s="209"/>
      <c r="D56" s="209"/>
      <c r="M56" s="215"/>
      <c r="N56" s="215"/>
      <c r="O56" s="215"/>
      <c r="P56" s="215"/>
    </row>
    <row r="57" spans="1:16">
      <c r="B57" s="209"/>
      <c r="C57" s="209"/>
      <c r="D57" s="209"/>
    </row>
  </sheetData>
  <mergeCells count="11">
    <mergeCell ref="AQ19:AQ20"/>
    <mergeCell ref="R21:T21"/>
    <mergeCell ref="O15:P15"/>
    <mergeCell ref="O16:P16"/>
    <mergeCell ref="AD15:AE15"/>
    <mergeCell ref="AD16:AE16"/>
    <mergeCell ref="R5:T5"/>
    <mergeCell ref="X6:Z6"/>
    <mergeCell ref="U7:W7"/>
    <mergeCell ref="R14:T14"/>
    <mergeCell ref="Y14:AA14"/>
  </mergeCells>
  <phoneticPr fontId="5" type="noConversion"/>
  <pageMargins left="0.7" right="0.7" top="0.75" bottom="0.75" header="0.3" footer="0.3"/>
  <pageSetup paperSize="9"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dimension ref="E1:AC20"/>
  <sheetViews>
    <sheetView zoomScale="85" zoomScaleNormal="85" workbookViewId="0">
      <selection activeCell="D7" sqref="D7"/>
    </sheetView>
  </sheetViews>
  <sheetFormatPr defaultRowHeight="16.5"/>
  <cols>
    <col min="7" max="9" width="4" customWidth="1"/>
  </cols>
  <sheetData>
    <row r="1" spans="5:29">
      <c r="G1" s="529" t="s">
        <v>2622</v>
      </c>
      <c r="H1" s="529"/>
      <c r="I1" s="529"/>
    </row>
    <row r="2" spans="5:29">
      <c r="G2" s="208"/>
      <c r="H2" s="208"/>
      <c r="I2" s="208"/>
      <c r="J2">
        <f>3*3*3</f>
        <v>27</v>
      </c>
      <c r="K2">
        <v>32</v>
      </c>
    </row>
    <row r="3" spans="5:29">
      <c r="G3" s="208"/>
      <c r="H3" s="208"/>
      <c r="I3" s="208"/>
      <c r="K3">
        <f>J2*K2+K2</f>
        <v>896</v>
      </c>
      <c r="Q3" s="378" t="s">
        <v>2621</v>
      </c>
      <c r="Y3" s="378" t="s">
        <v>2621</v>
      </c>
      <c r="Z3" s="544" t="s">
        <v>664</v>
      </c>
      <c r="AA3" s="545"/>
      <c r="AC3" s="378" t="s">
        <v>2621</v>
      </c>
    </row>
    <row r="4" spans="5:29">
      <c r="E4" s="378" t="s">
        <v>2621</v>
      </c>
      <c r="G4" s="208"/>
      <c r="H4" s="208"/>
      <c r="I4" s="208"/>
      <c r="Q4" s="1"/>
      <c r="T4" s="544" t="s">
        <v>664</v>
      </c>
      <c r="U4" s="545"/>
      <c r="V4" s="4" t="s">
        <v>2624</v>
      </c>
      <c r="Y4" s="1"/>
      <c r="Z4" s="186"/>
      <c r="AC4" s="1"/>
    </row>
    <row r="5" spans="5:29">
      <c r="E5" s="1"/>
      <c r="L5" s="544" t="s">
        <v>664</v>
      </c>
      <c r="M5" s="545"/>
      <c r="N5" s="4" t="s">
        <v>2624</v>
      </c>
      <c r="Q5" s="1"/>
      <c r="T5" s="186"/>
      <c r="Y5" s="1"/>
      <c r="Z5" s="186"/>
      <c r="AC5" s="1"/>
    </row>
    <row r="6" spans="5:29">
      <c r="E6" s="1"/>
      <c r="L6" s="186"/>
      <c r="Q6" s="1"/>
      <c r="T6" s="186"/>
      <c r="W6" t="s">
        <v>2625</v>
      </c>
      <c r="Y6" s="1"/>
      <c r="Z6" s="186"/>
      <c r="AC6" s="1"/>
    </row>
    <row r="7" spans="5:29">
      <c r="E7" s="1"/>
      <c r="L7" s="186"/>
      <c r="O7" t="s">
        <v>2625</v>
      </c>
      <c r="Q7" s="1"/>
      <c r="T7" s="186"/>
      <c r="W7" s="447"/>
      <c r="Y7" s="1"/>
      <c r="Z7" s="186"/>
      <c r="AC7" s="1"/>
    </row>
    <row r="8" spans="5:29">
      <c r="E8" s="1"/>
      <c r="L8" s="186"/>
      <c r="O8" s="447"/>
      <c r="Q8" s="1"/>
      <c r="T8" s="186"/>
      <c r="W8" s="447"/>
      <c r="Y8" s="1"/>
      <c r="Z8" s="186"/>
      <c r="AC8" s="1"/>
    </row>
    <row r="9" spans="5:29">
      <c r="E9" s="1"/>
      <c r="L9" s="186"/>
      <c r="O9" s="447"/>
      <c r="Q9" s="1"/>
      <c r="T9" s="186"/>
      <c r="W9" s="447"/>
      <c r="Y9" s="1"/>
      <c r="Z9" s="186"/>
      <c r="AC9" s="1"/>
    </row>
    <row r="10" spans="5:29">
      <c r="E10" s="1"/>
      <c r="L10" s="186"/>
      <c r="O10" s="447"/>
      <c r="Q10" s="1"/>
      <c r="T10" s="186"/>
      <c r="W10" s="447"/>
      <c r="Y10" s="1"/>
      <c r="Z10" s="186"/>
      <c r="AC10" s="1"/>
    </row>
    <row r="11" spans="5:29">
      <c r="E11" s="1"/>
      <c r="L11" s="186"/>
      <c r="O11" s="447"/>
      <c r="Q11" s="1"/>
      <c r="T11" s="186"/>
      <c r="Y11" s="1"/>
      <c r="Z11" s="186"/>
      <c r="AC11" s="1"/>
    </row>
    <row r="12" spans="5:29">
      <c r="E12" s="1"/>
      <c r="L12" s="186"/>
      <c r="Q12" s="1"/>
      <c r="T12" s="186"/>
      <c r="Y12" s="1"/>
      <c r="Z12" s="186"/>
      <c r="AC12" s="1"/>
    </row>
    <row r="13" spans="5:29">
      <c r="E13" s="1"/>
      <c r="L13" s="186"/>
      <c r="Q13" s="1"/>
      <c r="T13" s="186"/>
      <c r="Y13" s="1"/>
      <c r="Z13" s="186"/>
      <c r="AC13" s="1"/>
    </row>
    <row r="14" spans="5:29">
      <c r="E14" s="1"/>
      <c r="L14" s="186"/>
      <c r="Q14" s="1"/>
      <c r="T14" s="186"/>
      <c r="Y14" s="1"/>
      <c r="Z14" s="186"/>
      <c r="AC14" s="1"/>
    </row>
    <row r="15" spans="5:29">
      <c r="E15" s="1"/>
      <c r="L15" s="186"/>
      <c r="Q15" s="1"/>
      <c r="T15" s="186"/>
      <c r="Y15" s="1"/>
      <c r="AC15" s="1"/>
    </row>
    <row r="16" spans="5:29">
      <c r="E16" s="1"/>
      <c r="L16" s="186"/>
      <c r="Q16" s="1"/>
      <c r="Y16" s="1"/>
      <c r="AC16" s="1"/>
    </row>
    <row r="17" spans="5:29">
      <c r="E17" s="1"/>
      <c r="Q17" s="1"/>
      <c r="Y17" s="1"/>
      <c r="AC17" s="1"/>
    </row>
    <row r="18" spans="5:29">
      <c r="E18" s="1"/>
    </row>
    <row r="19" spans="5:29">
      <c r="Q19" t="s">
        <v>2626</v>
      </c>
      <c r="Y19">
        <v>128</v>
      </c>
      <c r="AC19">
        <v>256</v>
      </c>
    </row>
    <row r="20" spans="5:29">
      <c r="E20" t="s">
        <v>2623</v>
      </c>
    </row>
  </sheetData>
  <mergeCells count="4">
    <mergeCell ref="G1:I1"/>
    <mergeCell ref="L5:M5"/>
    <mergeCell ref="T4:U4"/>
    <mergeCell ref="Z3:AA3"/>
  </mergeCells>
  <phoneticPr fontId="5" type="noConversion"/>
  <hyperlinks>
    <hyperlink ref="N5" r:id="rId1" display="2*@" xr:uid="{00000000-0004-0000-3200-000000000000}"/>
    <hyperlink ref="V4" r:id="rId2" display="2*@" xr:uid="{00000000-0004-0000-3200-000001000000}"/>
  </hyperlinks>
  <pageMargins left="0.7" right="0.7" top="0.75" bottom="0.75" header="0.3" footer="0.3"/>
  <drawing r:id="rId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dimension ref="A1:AI133"/>
  <sheetViews>
    <sheetView showGridLines="0" topLeftCell="A44" zoomScale="85" zoomScaleNormal="85" workbookViewId="0">
      <selection activeCell="K109" sqref="K109"/>
    </sheetView>
  </sheetViews>
  <sheetFormatPr defaultRowHeight="16.5"/>
  <cols>
    <col min="2" max="2" width="5.25" customWidth="1"/>
    <col min="3" max="7" width="6.625" customWidth="1"/>
    <col min="8" max="8" width="10.125" customWidth="1"/>
    <col min="9" max="17" width="6.625" customWidth="1"/>
    <col min="18" max="20" width="3.375" customWidth="1"/>
  </cols>
  <sheetData>
    <row r="1" spans="2:7" s="244" customFormat="1" ht="20.25">
      <c r="B1" s="352" t="s">
        <v>1864</v>
      </c>
      <c r="C1" s="353"/>
    </row>
    <row r="2" spans="2:7" ht="20.25">
      <c r="B2" s="350"/>
      <c r="C2" s="272"/>
    </row>
    <row r="3" spans="2:7" ht="20.25">
      <c r="B3" s="350"/>
      <c r="C3" s="272"/>
    </row>
    <row r="4" spans="2:7" ht="20.25">
      <c r="B4" s="350"/>
      <c r="C4" s="272"/>
    </row>
    <row r="5" spans="2:7" ht="20.25">
      <c r="B5" s="350"/>
      <c r="C5" s="272"/>
    </row>
    <row r="6" spans="2:7" ht="20.25">
      <c r="B6" s="350"/>
      <c r="C6" s="272"/>
    </row>
    <row r="7" spans="2:7" ht="20.25">
      <c r="B7" s="350"/>
      <c r="C7" s="272"/>
    </row>
    <row r="8" spans="2:7" ht="20.25">
      <c r="B8" s="350"/>
      <c r="C8" s="272"/>
    </row>
    <row r="9" spans="2:7" ht="31.5">
      <c r="B9" s="351"/>
    </row>
    <row r="13" spans="2:7">
      <c r="B13" t="s">
        <v>769</v>
      </c>
      <c r="D13" t="s">
        <v>770</v>
      </c>
    </row>
    <row r="14" spans="2:7">
      <c r="B14" t="s">
        <v>751</v>
      </c>
      <c r="D14" t="s">
        <v>752</v>
      </c>
      <c r="F14" t="s">
        <v>1827</v>
      </c>
      <c r="G14" t="s">
        <v>1828</v>
      </c>
    </row>
    <row r="15" spans="2:7">
      <c r="F15" t="s">
        <v>1829</v>
      </c>
      <c r="G15" t="s">
        <v>1830</v>
      </c>
    </row>
    <row r="16" spans="2:7">
      <c r="F16" t="s">
        <v>1831</v>
      </c>
      <c r="G16" t="s">
        <v>1832</v>
      </c>
    </row>
    <row r="17" spans="2:17" s="225" customFormat="1" ht="11.25">
      <c r="B17" s="224"/>
      <c r="C17" s="224" t="s">
        <v>757</v>
      </c>
      <c r="D17" s="224" t="s">
        <v>755</v>
      </c>
      <c r="E17" s="224" t="s">
        <v>756</v>
      </c>
      <c r="F17" s="224" t="s">
        <v>758</v>
      </c>
      <c r="G17" s="224" t="s">
        <v>759</v>
      </c>
      <c r="H17" s="224" t="s">
        <v>760</v>
      </c>
      <c r="I17" s="224" t="s">
        <v>761</v>
      </c>
      <c r="J17" s="224" t="s">
        <v>762</v>
      </c>
      <c r="K17" s="224" t="s">
        <v>763</v>
      </c>
      <c r="L17" s="226" t="s">
        <v>764</v>
      </c>
      <c r="M17" s="226" t="s">
        <v>765</v>
      </c>
      <c r="N17" s="226" t="s">
        <v>766</v>
      </c>
      <c r="O17" s="226" t="s">
        <v>767</v>
      </c>
      <c r="P17" s="226" t="s">
        <v>180</v>
      </c>
      <c r="Q17" s="226" t="s">
        <v>768</v>
      </c>
    </row>
    <row r="18" spans="2:17" s="225" customFormat="1" ht="11.25">
      <c r="B18" s="224" t="s">
        <v>1826</v>
      </c>
      <c r="C18" s="224">
        <v>1</v>
      </c>
      <c r="D18" s="224">
        <v>1</v>
      </c>
      <c r="E18" s="224">
        <v>1</v>
      </c>
      <c r="F18" s="224">
        <v>1</v>
      </c>
      <c r="G18" s="224">
        <v>1</v>
      </c>
      <c r="H18" s="224">
        <v>1</v>
      </c>
      <c r="I18" s="224">
        <v>0</v>
      </c>
      <c r="J18" s="224">
        <v>0</v>
      </c>
      <c r="K18" s="224">
        <v>0</v>
      </c>
      <c r="L18" s="227">
        <v>0</v>
      </c>
      <c r="M18" s="227">
        <v>0</v>
      </c>
      <c r="N18" s="227">
        <v>0</v>
      </c>
      <c r="O18" s="227">
        <v>0</v>
      </c>
      <c r="P18" s="227">
        <v>0</v>
      </c>
      <c r="Q18" s="227">
        <v>0</v>
      </c>
    </row>
    <row r="19" spans="2:17" s="225" customFormat="1" ht="11.25">
      <c r="B19" s="224" t="s">
        <v>753</v>
      </c>
      <c r="C19" s="224">
        <v>0</v>
      </c>
      <c r="D19" s="224">
        <v>0</v>
      </c>
      <c r="E19" s="224">
        <v>1</v>
      </c>
      <c r="F19" s="224">
        <v>0</v>
      </c>
      <c r="G19" s="224">
        <v>0</v>
      </c>
      <c r="H19" s="224">
        <v>0</v>
      </c>
      <c r="I19" s="224">
        <v>1</v>
      </c>
      <c r="J19" s="224">
        <v>1</v>
      </c>
      <c r="K19" s="224">
        <v>1</v>
      </c>
      <c r="L19" s="227">
        <v>1</v>
      </c>
      <c r="M19" s="227">
        <v>0</v>
      </c>
      <c r="N19" s="227">
        <v>0</v>
      </c>
      <c r="O19" s="227">
        <v>0</v>
      </c>
      <c r="P19" s="227">
        <v>0</v>
      </c>
      <c r="Q19" s="227">
        <v>0</v>
      </c>
    </row>
    <row r="20" spans="2:17" s="225" customFormat="1" ht="11.25">
      <c r="B20" s="224" t="s">
        <v>754</v>
      </c>
      <c r="C20" s="224">
        <v>0</v>
      </c>
      <c r="D20" s="224">
        <v>0</v>
      </c>
      <c r="E20" s="224">
        <v>0</v>
      </c>
      <c r="F20" s="224">
        <v>0</v>
      </c>
      <c r="G20" s="224">
        <v>0</v>
      </c>
      <c r="H20" s="224">
        <v>0</v>
      </c>
      <c r="I20" s="224">
        <v>0</v>
      </c>
      <c r="J20" s="224">
        <v>0</v>
      </c>
      <c r="K20" s="224">
        <v>1</v>
      </c>
      <c r="L20" s="227">
        <v>0</v>
      </c>
      <c r="M20" s="227">
        <v>1</v>
      </c>
      <c r="N20" s="227">
        <v>1</v>
      </c>
      <c r="O20" s="227">
        <v>1</v>
      </c>
      <c r="P20" s="227">
        <v>1</v>
      </c>
      <c r="Q20" s="227">
        <v>1</v>
      </c>
    </row>
    <row r="21" spans="2:17">
      <c r="E21" s="76">
        <v>2</v>
      </c>
      <c r="K21" s="76">
        <v>2</v>
      </c>
    </row>
    <row r="23" spans="2:17" s="1" customFormat="1">
      <c r="B23" s="1" t="s">
        <v>1857</v>
      </c>
    </row>
    <row r="25" spans="2:17">
      <c r="B25" s="228" t="s">
        <v>771</v>
      </c>
    </row>
    <row r="27" spans="2:17">
      <c r="B27" s="122" t="s">
        <v>1858</v>
      </c>
    </row>
    <row r="28" spans="2:17">
      <c r="B28" s="122" t="s">
        <v>772</v>
      </c>
    </row>
    <row r="29" spans="2:17">
      <c r="B29" s="122" t="s">
        <v>773</v>
      </c>
    </row>
    <row r="30" spans="2:17">
      <c r="B30" s="122" t="s">
        <v>774</v>
      </c>
      <c r="E30" s="151" t="s">
        <v>777</v>
      </c>
    </row>
    <row r="32" spans="2:17">
      <c r="B32" s="228" t="s">
        <v>775</v>
      </c>
    </row>
    <row r="33" spans="2:11">
      <c r="B33" s="228" t="s">
        <v>776</v>
      </c>
    </row>
    <row r="36" spans="2:11">
      <c r="B36" s="122" t="s">
        <v>809</v>
      </c>
      <c r="F36" s="151"/>
      <c r="K36" t="s">
        <v>1860</v>
      </c>
    </row>
    <row r="38" spans="2:11">
      <c r="B38" s="122" t="s">
        <v>1859</v>
      </c>
    </row>
    <row r="40" spans="2:11">
      <c r="B40" s="122" t="s">
        <v>810</v>
      </c>
    </row>
    <row r="42" spans="2:11">
      <c r="B42" s="122" t="s">
        <v>811</v>
      </c>
      <c r="K42" s="349" t="s">
        <v>1861</v>
      </c>
    </row>
    <row r="53" spans="2:21">
      <c r="B53" t="s">
        <v>778</v>
      </c>
    </row>
    <row r="54" spans="2:21">
      <c r="B54" t="s">
        <v>779</v>
      </c>
    </row>
    <row r="56" spans="2:21">
      <c r="B56" t="s">
        <v>780</v>
      </c>
    </row>
    <row r="58" spans="2:21">
      <c r="C58" s="133"/>
      <c r="D58" s="229"/>
      <c r="E58" s="133"/>
      <c r="F58" s="133"/>
      <c r="G58" s="133"/>
      <c r="H58" s="133"/>
      <c r="I58" s="133"/>
      <c r="J58" s="133"/>
      <c r="K58" s="133"/>
      <c r="L58" s="133"/>
      <c r="M58" s="133"/>
      <c r="N58" s="133"/>
      <c r="O58" s="133"/>
      <c r="P58" s="133"/>
      <c r="Q58" s="133"/>
      <c r="R58" s="133"/>
    </row>
    <row r="60" spans="2:21">
      <c r="C60" s="133"/>
      <c r="D60" s="133"/>
      <c r="E60" s="133"/>
      <c r="F60" s="133"/>
      <c r="G60" s="133"/>
      <c r="H60" s="133"/>
      <c r="I60" s="133"/>
      <c r="J60" s="133"/>
      <c r="K60" s="133"/>
      <c r="L60" s="133"/>
      <c r="M60" s="229"/>
      <c r="N60" s="133"/>
      <c r="O60" s="133"/>
      <c r="P60" s="133"/>
      <c r="Q60" s="133"/>
      <c r="R60" s="133"/>
      <c r="U60" t="s">
        <v>781</v>
      </c>
    </row>
    <row r="62" spans="2:21">
      <c r="C62" s="133"/>
      <c r="D62" s="133"/>
      <c r="E62" s="133"/>
      <c r="F62" s="133"/>
      <c r="G62" s="229"/>
      <c r="H62" s="133"/>
      <c r="I62" s="133"/>
      <c r="J62" s="133"/>
      <c r="K62" s="133"/>
      <c r="L62" s="133"/>
      <c r="M62" s="133"/>
      <c r="N62" s="133"/>
      <c r="O62" s="133"/>
      <c r="P62" s="133"/>
      <c r="Q62" s="133"/>
      <c r="R62" s="133"/>
    </row>
    <row r="66" spans="2:23">
      <c r="C66" s="133"/>
      <c r="D66" s="230"/>
      <c r="E66" s="229"/>
      <c r="F66" s="230"/>
      <c r="J66" s="163" t="s">
        <v>806</v>
      </c>
      <c r="W66" t="s">
        <v>1863</v>
      </c>
    </row>
    <row r="67" spans="2:23" ht="17.25">
      <c r="U67" s="267" t="s">
        <v>782</v>
      </c>
      <c r="W67" s="212" t="s">
        <v>783</v>
      </c>
    </row>
    <row r="68" spans="2:23">
      <c r="C68" s="133"/>
      <c r="D68" s="230"/>
      <c r="E68" s="133"/>
      <c r="F68" s="230"/>
      <c r="J68" s="163" t="s">
        <v>807</v>
      </c>
      <c r="W68" s="212" t="s">
        <v>784</v>
      </c>
    </row>
    <row r="69" spans="2:23">
      <c r="J69" s="122" t="s">
        <v>711</v>
      </c>
      <c r="W69" s="212" t="s">
        <v>785</v>
      </c>
    </row>
    <row r="70" spans="2:23">
      <c r="C70" s="229"/>
      <c r="D70" s="230"/>
      <c r="E70" s="133"/>
      <c r="F70" s="230"/>
      <c r="J70" s="122" t="s">
        <v>808</v>
      </c>
    </row>
    <row r="71" spans="2:23">
      <c r="W71" s="231" t="s">
        <v>786</v>
      </c>
    </row>
    <row r="72" spans="2:23">
      <c r="W72" s="231" t="s">
        <v>787</v>
      </c>
    </row>
    <row r="73" spans="2:23" s="1" customFormat="1">
      <c r="B73" s="1" t="s">
        <v>1833</v>
      </c>
      <c r="W73" s="345" t="s">
        <v>788</v>
      </c>
    </row>
    <row r="75" spans="2:23">
      <c r="C75" s="90" t="s">
        <v>1834</v>
      </c>
      <c r="F75" t="s">
        <v>1835</v>
      </c>
    </row>
    <row r="77" spans="2:23">
      <c r="F77" t="s">
        <v>1836</v>
      </c>
    </row>
    <row r="79" spans="2:23">
      <c r="F79" t="s">
        <v>1837</v>
      </c>
    </row>
    <row r="80" spans="2:23">
      <c r="G80" s="90" t="s">
        <v>1838</v>
      </c>
    </row>
    <row r="81" spans="1:26">
      <c r="G81" s="90" t="s">
        <v>1839</v>
      </c>
    </row>
    <row r="83" spans="1:26">
      <c r="C83" s="90" t="s">
        <v>1840</v>
      </c>
      <c r="F83" t="s">
        <v>1841</v>
      </c>
    </row>
    <row r="84" spans="1:26">
      <c r="G84" s="90" t="s">
        <v>1843</v>
      </c>
    </row>
    <row r="85" spans="1:26">
      <c r="G85" s="90" t="s">
        <v>1855</v>
      </c>
    </row>
    <row r="86" spans="1:26">
      <c r="G86" s="90" t="s">
        <v>1844</v>
      </c>
    </row>
    <row r="90" spans="1:26" s="1" customFormat="1">
      <c r="C90" s="168" t="s">
        <v>1842</v>
      </c>
      <c r="E90" s="1" t="s">
        <v>1862</v>
      </c>
    </row>
    <row r="91" spans="1:26">
      <c r="V91" s="117"/>
    </row>
    <row r="92" spans="1:26">
      <c r="A92" s="4" t="s">
        <v>1856</v>
      </c>
      <c r="V92" s="186"/>
    </row>
    <row r="93" spans="1:26">
      <c r="E93" s="90" t="s">
        <v>1849</v>
      </c>
      <c r="J93" t="s">
        <v>1847</v>
      </c>
      <c r="V93" s="186"/>
    </row>
    <row r="94" spans="1:26">
      <c r="V94" s="186"/>
    </row>
    <row r="95" spans="1:26">
      <c r="J95" t="s">
        <v>1850</v>
      </c>
      <c r="V95" s="119"/>
      <c r="Z95" s="348"/>
    </row>
    <row r="96" spans="1:26">
      <c r="J96" t="s">
        <v>1851</v>
      </c>
      <c r="V96" s="186"/>
      <c r="X96" s="347"/>
      <c r="Z96" s="348"/>
    </row>
    <row r="97" spans="5:35">
      <c r="V97" s="186"/>
      <c r="X97" s="347"/>
      <c r="Z97" s="348"/>
    </row>
    <row r="98" spans="5:35">
      <c r="V98" s="346"/>
      <c r="X98" s="347"/>
      <c r="Z98" s="348"/>
    </row>
    <row r="99" spans="5:35">
      <c r="E99" t="s">
        <v>1846</v>
      </c>
      <c r="V99" s="186"/>
      <c r="AI99" s="4" t="s">
        <v>1865</v>
      </c>
    </row>
    <row r="101" spans="5:35">
      <c r="V101" s="186"/>
    </row>
    <row r="102" spans="5:35">
      <c r="V102" s="186"/>
    </row>
    <row r="103" spans="5:35">
      <c r="V103" s="186"/>
    </row>
    <row r="104" spans="5:35">
      <c r="V104" s="209"/>
    </row>
    <row r="105" spans="5:35">
      <c r="V105" s="119"/>
      <c r="Z105" s="348"/>
    </row>
    <row r="106" spans="5:35">
      <c r="V106" s="119" t="s">
        <v>1854</v>
      </c>
      <c r="Z106" s="348"/>
    </row>
    <row r="107" spans="5:35">
      <c r="Z107" s="348"/>
    </row>
    <row r="108" spans="5:35">
      <c r="Z108" s="348"/>
    </row>
    <row r="109" spans="5:35">
      <c r="E109" s="90" t="s">
        <v>1845</v>
      </c>
      <c r="J109" t="s">
        <v>1848</v>
      </c>
    </row>
    <row r="111" spans="5:35">
      <c r="J111" t="s">
        <v>1852</v>
      </c>
      <c r="V111" s="186"/>
      <c r="X111" s="347"/>
      <c r="Z111" s="348"/>
    </row>
    <row r="112" spans="5:35">
      <c r="V112" s="186"/>
      <c r="X112" s="347"/>
      <c r="Z112" s="348"/>
    </row>
    <row r="113" spans="2:26">
      <c r="V113" s="348"/>
      <c r="X113" s="347"/>
      <c r="Z113" s="348"/>
    </row>
    <row r="114" spans="2:26">
      <c r="J114" t="s">
        <v>1853</v>
      </c>
      <c r="V114" s="186"/>
      <c r="Z114" s="348"/>
    </row>
    <row r="116" spans="2:26">
      <c r="V116" s="119" t="s">
        <v>1854</v>
      </c>
    </row>
    <row r="117" spans="2:26">
      <c r="Z117" s="348"/>
    </row>
    <row r="118" spans="2:26">
      <c r="Z118" s="348"/>
    </row>
    <row r="119" spans="2:26">
      <c r="Z119" s="348"/>
    </row>
    <row r="120" spans="2:26">
      <c r="Z120" s="348"/>
    </row>
    <row r="121" spans="2:26" s="1" customFormat="1" ht="23.25">
      <c r="B121" s="232" t="s">
        <v>789</v>
      </c>
    </row>
    <row r="123" spans="2:26">
      <c r="C123" s="233" t="s">
        <v>794</v>
      </c>
      <c r="D123" s="211"/>
      <c r="E123" s="211"/>
      <c r="W123" s="215" t="s">
        <v>796</v>
      </c>
    </row>
    <row r="124" spans="2:26">
      <c r="C124" s="233" t="s">
        <v>790</v>
      </c>
      <c r="D124" s="211"/>
      <c r="E124" s="211"/>
      <c r="W124" s="128" t="s">
        <v>797</v>
      </c>
      <c r="Z124" s="3" t="s">
        <v>805</v>
      </c>
    </row>
    <row r="125" spans="2:26">
      <c r="C125" s="233" t="s">
        <v>791</v>
      </c>
      <c r="D125" s="211"/>
      <c r="E125" s="211"/>
      <c r="W125" s="128" t="s">
        <v>798</v>
      </c>
      <c r="Z125" s="234" t="s">
        <v>795</v>
      </c>
    </row>
    <row r="126" spans="2:26">
      <c r="C126" s="233" t="s">
        <v>792</v>
      </c>
      <c r="D126" s="211"/>
      <c r="E126" s="211"/>
      <c r="W126" s="215" t="s">
        <v>799</v>
      </c>
    </row>
    <row r="127" spans="2:26">
      <c r="C127" s="233" t="s">
        <v>793</v>
      </c>
      <c r="D127" s="211"/>
      <c r="E127" s="211"/>
      <c r="W127" s="215" t="s">
        <v>800</v>
      </c>
    </row>
    <row r="128" spans="2:26">
      <c r="W128" s="215" t="s">
        <v>801</v>
      </c>
    </row>
    <row r="129" spans="23:23">
      <c r="W129" s="215" t="s">
        <v>802</v>
      </c>
    </row>
    <row r="130" spans="23:23">
      <c r="W130" s="215" t="s">
        <v>803</v>
      </c>
    </row>
    <row r="131" spans="23:23">
      <c r="W131" s="215" t="s">
        <v>804</v>
      </c>
    </row>
    <row r="132" spans="23:23">
      <c r="W132" s="215" t="s">
        <v>699</v>
      </c>
    </row>
    <row r="133" spans="23:23">
      <c r="W133" s="215" t="s">
        <v>700</v>
      </c>
    </row>
  </sheetData>
  <phoneticPr fontId="5" type="noConversion"/>
  <hyperlinks>
    <hyperlink ref="A92" r:id="rId1" location="gid=989060826" xr:uid="{00000000-0004-0000-3300-000000000000}"/>
    <hyperlink ref="AI99" r:id="rId2" xr:uid="{00000000-0004-0000-3300-000001000000}"/>
  </hyperlinks>
  <pageMargins left="0.7" right="0.7" top="0.75" bottom="0.75" header="0.3" footer="0.3"/>
  <drawing r:id="rId3"/>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dimension ref="A1:Z689"/>
  <sheetViews>
    <sheetView showGridLines="0" topLeftCell="A389" zoomScale="70" zoomScaleNormal="70" workbookViewId="0">
      <selection activeCell="C675" sqref="C675"/>
    </sheetView>
  </sheetViews>
  <sheetFormatPr defaultRowHeight="16.5"/>
  <cols>
    <col min="12" max="12" width="13.875" customWidth="1"/>
    <col min="17" max="17" width="14.25" customWidth="1"/>
    <col min="19" max="19" width="17.75" customWidth="1"/>
    <col min="22" max="22" width="12.5" customWidth="1"/>
    <col min="23" max="23" width="16.5" customWidth="1"/>
    <col min="24" max="24" width="12.125" bestFit="1" customWidth="1"/>
  </cols>
  <sheetData>
    <row r="1" spans="2:19">
      <c r="F1" t="s">
        <v>2369</v>
      </c>
      <c r="M1" s="4" t="s">
        <v>2371</v>
      </c>
    </row>
    <row r="2" spans="2:19" s="1" customFormat="1">
      <c r="B2" s="168" t="s">
        <v>1866</v>
      </c>
    </row>
    <row r="4" spans="2:19">
      <c r="C4" s="90" t="s">
        <v>1867</v>
      </c>
    </row>
    <row r="6" spans="2:19" s="161" customFormat="1">
      <c r="D6" s="358" t="s">
        <v>1868</v>
      </c>
    </row>
    <row r="10" spans="2:19">
      <c r="S10" s="228" t="s">
        <v>1870</v>
      </c>
    </row>
    <row r="11" spans="2:19">
      <c r="S11" s="228" t="s">
        <v>1871</v>
      </c>
    </row>
    <row r="12" spans="2:19">
      <c r="S12" s="228" t="s">
        <v>1872</v>
      </c>
    </row>
    <row r="13" spans="2:19">
      <c r="S13" s="228" t="s">
        <v>1873</v>
      </c>
    </row>
    <row r="14" spans="2:19">
      <c r="S14" s="228" t="s">
        <v>1874</v>
      </c>
    </row>
    <row r="15" spans="2:19">
      <c r="S15" s="228" t="s">
        <v>1875</v>
      </c>
    </row>
    <row r="16" spans="2:19">
      <c r="S16" s="164"/>
    </row>
    <row r="17" spans="19:19">
      <c r="S17" s="228" t="s">
        <v>1876</v>
      </c>
    </row>
    <row r="18" spans="19:19">
      <c r="S18" s="228" t="s">
        <v>1877</v>
      </c>
    </row>
    <row r="19" spans="19:19">
      <c r="S19" s="164"/>
    </row>
    <row r="20" spans="19:19">
      <c r="S20" s="228" t="s">
        <v>1878</v>
      </c>
    </row>
    <row r="21" spans="19:19">
      <c r="S21" s="228" t="s">
        <v>1879</v>
      </c>
    </row>
    <row r="22" spans="19:19">
      <c r="S22" s="228" t="s">
        <v>1880</v>
      </c>
    </row>
    <row r="23" spans="19:19">
      <c r="S23" s="164"/>
    </row>
    <row r="24" spans="19:19">
      <c r="S24" s="228" t="s">
        <v>1881</v>
      </c>
    </row>
    <row r="25" spans="19:19">
      <c r="S25" s="228" t="s">
        <v>1882</v>
      </c>
    </row>
    <row r="26" spans="19:19">
      <c r="S26" s="228" t="s">
        <v>1883</v>
      </c>
    </row>
    <row r="27" spans="19:19">
      <c r="S27" s="228" t="s">
        <v>1884</v>
      </c>
    </row>
    <row r="28" spans="19:19">
      <c r="S28" s="164"/>
    </row>
    <row r="29" spans="19:19">
      <c r="S29" s="228" t="s">
        <v>1885</v>
      </c>
    </row>
    <row r="30" spans="19:19">
      <c r="S30" s="228" t="s">
        <v>1886</v>
      </c>
    </row>
    <row r="31" spans="19:19">
      <c r="S31" s="228" t="s">
        <v>1887</v>
      </c>
    </row>
    <row r="32" spans="19:19">
      <c r="S32" s="164"/>
    </row>
    <row r="33" spans="19:19">
      <c r="S33" s="228" t="s">
        <v>1888</v>
      </c>
    </row>
    <row r="34" spans="19:19">
      <c r="S34" s="228" t="s">
        <v>1889</v>
      </c>
    </row>
    <row r="35" spans="19:19">
      <c r="S35" s="228" t="s">
        <v>1890</v>
      </c>
    </row>
    <row r="36" spans="19:19">
      <c r="S36" s="228" t="s">
        <v>1891</v>
      </c>
    </row>
    <row r="37" spans="19:19">
      <c r="S37" s="164"/>
    </row>
    <row r="38" spans="19:19">
      <c r="S38" s="228" t="s">
        <v>1892</v>
      </c>
    </row>
    <row r="39" spans="19:19">
      <c r="S39" s="228" t="s">
        <v>1893</v>
      </c>
    </row>
    <row r="40" spans="19:19">
      <c r="S40" s="228" t="s">
        <v>1894</v>
      </c>
    </row>
    <row r="41" spans="19:19">
      <c r="S41" s="164"/>
    </row>
    <row r="42" spans="19:19">
      <c r="S42" s="228" t="s">
        <v>1895</v>
      </c>
    </row>
    <row r="43" spans="19:19">
      <c r="S43" s="228" t="s">
        <v>1896</v>
      </c>
    </row>
    <row r="44" spans="19:19">
      <c r="S44" s="164"/>
    </row>
    <row r="45" spans="19:19">
      <c r="S45" s="228" t="s">
        <v>1897</v>
      </c>
    </row>
    <row r="46" spans="19:19">
      <c r="S46" s="228" t="s">
        <v>1898</v>
      </c>
    </row>
    <row r="47" spans="19:19">
      <c r="S47" s="228" t="s">
        <v>1899</v>
      </c>
    </row>
    <row r="48" spans="19:19">
      <c r="S48" s="228" t="s">
        <v>1900</v>
      </c>
    </row>
    <row r="49" spans="19:19">
      <c r="S49" s="357" t="s">
        <v>1901</v>
      </c>
    </row>
    <row r="50" spans="19:19">
      <c r="S50" s="357" t="s">
        <v>1902</v>
      </c>
    </row>
    <row r="51" spans="19:19">
      <c r="S51" s="357" t="s">
        <v>1903</v>
      </c>
    </row>
    <row r="77" spans="4:19" s="161" customFormat="1">
      <c r="D77" s="360" t="s">
        <v>1904</v>
      </c>
    </row>
    <row r="80" spans="4:19">
      <c r="S80" s="228" t="s">
        <v>1905</v>
      </c>
    </row>
    <row r="81" spans="19:19">
      <c r="S81" s="164"/>
    </row>
    <row r="82" spans="19:19">
      <c r="S82" s="228" t="s">
        <v>1870</v>
      </c>
    </row>
    <row r="83" spans="19:19">
      <c r="S83" s="228" t="s">
        <v>1906</v>
      </c>
    </row>
    <row r="84" spans="19:19">
      <c r="S84" s="228" t="s">
        <v>1907</v>
      </c>
    </row>
    <row r="85" spans="19:19">
      <c r="S85" s="228" t="s">
        <v>1908</v>
      </c>
    </row>
    <row r="86" spans="19:19">
      <c r="S86" s="228" t="s">
        <v>1910</v>
      </c>
    </row>
    <row r="87" spans="19:19">
      <c r="S87" s="228" t="s">
        <v>1911</v>
      </c>
    </row>
    <row r="88" spans="19:19">
      <c r="S88" s="228" t="s">
        <v>1912</v>
      </c>
    </row>
    <row r="89" spans="19:19">
      <c r="S89" s="228" t="s">
        <v>1913</v>
      </c>
    </row>
    <row r="90" spans="19:19">
      <c r="S90" s="228" t="s">
        <v>1914</v>
      </c>
    </row>
    <row r="91" spans="19:19">
      <c r="S91" s="228" t="s">
        <v>1915</v>
      </c>
    </row>
    <row r="92" spans="19:19">
      <c r="S92" s="228" t="s">
        <v>1916</v>
      </c>
    </row>
    <row r="93" spans="19:19">
      <c r="S93" s="228" t="s">
        <v>1917</v>
      </c>
    </row>
    <row r="94" spans="19:19">
      <c r="S94" s="228" t="s">
        <v>1918</v>
      </c>
    </row>
    <row r="95" spans="19:19">
      <c r="S95" s="228" t="s">
        <v>1919</v>
      </c>
    </row>
    <row r="96" spans="19:19">
      <c r="S96" s="228" t="s">
        <v>1920</v>
      </c>
    </row>
    <row r="97" spans="19:19">
      <c r="S97" s="228" t="s">
        <v>1921</v>
      </c>
    </row>
    <row r="98" spans="19:19">
      <c r="S98" s="228" t="s">
        <v>1922</v>
      </c>
    </row>
    <row r="99" spans="19:19">
      <c r="S99" s="228" t="s">
        <v>1923</v>
      </c>
    </row>
    <row r="100" spans="19:19">
      <c r="S100" s="228" t="s">
        <v>1924</v>
      </c>
    </row>
    <row r="101" spans="19:19">
      <c r="S101" s="228" t="s">
        <v>1925</v>
      </c>
    </row>
    <row r="102" spans="19:19">
      <c r="S102" s="228" t="s">
        <v>1926</v>
      </c>
    </row>
    <row r="103" spans="19:19">
      <c r="S103" s="228" t="s">
        <v>1927</v>
      </c>
    </row>
    <row r="104" spans="19:19">
      <c r="S104" s="228" t="s">
        <v>1928</v>
      </c>
    </row>
    <row r="105" spans="19:19">
      <c r="S105" s="228" t="s">
        <v>1929</v>
      </c>
    </row>
    <row r="106" spans="19:19">
      <c r="S106" s="228" t="s">
        <v>1930</v>
      </c>
    </row>
    <row r="107" spans="19:19">
      <c r="S107" s="164"/>
    </row>
    <row r="108" spans="19:19">
      <c r="S108" s="228" t="s">
        <v>1932</v>
      </c>
    </row>
    <row r="109" spans="19:19">
      <c r="S109" s="228" t="s">
        <v>1933</v>
      </c>
    </row>
    <row r="110" spans="19:19">
      <c r="S110" s="228" t="s">
        <v>1934</v>
      </c>
    </row>
    <row r="111" spans="19:19">
      <c r="S111" s="228" t="s">
        <v>1935</v>
      </c>
    </row>
    <row r="112" spans="19:19">
      <c r="S112" s="228" t="s">
        <v>1936</v>
      </c>
    </row>
    <row r="113" spans="19:19">
      <c r="S113" s="228" t="s">
        <v>1937</v>
      </c>
    </row>
    <row r="114" spans="19:19">
      <c r="S114" s="228" t="s">
        <v>1938</v>
      </c>
    </row>
    <row r="115" spans="19:19">
      <c r="S115" s="228" t="s">
        <v>1939</v>
      </c>
    </row>
    <row r="116" spans="19:19">
      <c r="S116" s="228" t="s">
        <v>1940</v>
      </c>
    </row>
    <row r="117" spans="19:19">
      <c r="S117" s="228" t="s">
        <v>1941</v>
      </c>
    </row>
    <row r="118" spans="19:19">
      <c r="S118" s="228" t="s">
        <v>1942</v>
      </c>
    </row>
    <row r="119" spans="19:19">
      <c r="S119" s="228" t="s">
        <v>1943</v>
      </c>
    </row>
    <row r="120" spans="19:19">
      <c r="S120" s="228" t="s">
        <v>1944</v>
      </c>
    </row>
    <row r="121" spans="19:19">
      <c r="S121" s="228" t="s">
        <v>1945</v>
      </c>
    </row>
    <row r="122" spans="19:19">
      <c r="S122" s="228" t="s">
        <v>1946</v>
      </c>
    </row>
    <row r="123" spans="19:19">
      <c r="S123" s="228" t="s">
        <v>1947</v>
      </c>
    </row>
    <row r="124" spans="19:19">
      <c r="S124" s="228" t="s">
        <v>1948</v>
      </c>
    </row>
    <row r="125" spans="19:19">
      <c r="S125" s="228" t="s">
        <v>1949</v>
      </c>
    </row>
    <row r="126" spans="19:19">
      <c r="S126" s="228" t="s">
        <v>1950</v>
      </c>
    </row>
    <row r="127" spans="19:19">
      <c r="S127" s="228" t="s">
        <v>1900</v>
      </c>
    </row>
    <row r="128" spans="19:19">
      <c r="S128" s="357" t="s">
        <v>1951</v>
      </c>
    </row>
    <row r="129" spans="3:19" s="161" customFormat="1">
      <c r="C129" s="358" t="s">
        <v>1952</v>
      </c>
      <c r="S129" s="359"/>
    </row>
    <row r="130" spans="3:19">
      <c r="S130" s="228"/>
    </row>
    <row r="131" spans="3:19">
      <c r="S131" s="228"/>
    </row>
    <row r="132" spans="3:19">
      <c r="S132" s="228"/>
    </row>
    <row r="133" spans="3:19" ht="21.75">
      <c r="S133" s="177" t="s">
        <v>1953</v>
      </c>
    </row>
    <row r="134" spans="3:19">
      <c r="S134" s="129"/>
    </row>
    <row r="135" spans="3:19">
      <c r="S135" s="150" t="s">
        <v>1954</v>
      </c>
    </row>
    <row r="136" spans="3:19">
      <c r="S136" s="150" t="s">
        <v>1955</v>
      </c>
    </row>
    <row r="137" spans="3:19">
      <c r="S137" s="150" t="s">
        <v>1956</v>
      </c>
    </row>
    <row r="138" spans="3:19">
      <c r="S138" s="150" t="s">
        <v>1957</v>
      </c>
    </row>
    <row r="139" spans="3:19">
      <c r="S139" s="150" t="s">
        <v>1958</v>
      </c>
    </row>
    <row r="141" spans="3:19" ht="21.75">
      <c r="S141" s="177" t="s">
        <v>1959</v>
      </c>
    </row>
    <row r="142" spans="3:19">
      <c r="S142" s="129"/>
    </row>
    <row r="143" spans="3:19">
      <c r="S143" s="150" t="s">
        <v>1960</v>
      </c>
    </row>
    <row r="144" spans="3:19">
      <c r="S144" s="129"/>
    </row>
    <row r="145" spans="19:19">
      <c r="S145" s="129"/>
    </row>
    <row r="146" spans="19:19">
      <c r="S146" s="178" t="s">
        <v>1961</v>
      </c>
    </row>
    <row r="147" spans="19:19">
      <c r="S147" s="129"/>
    </row>
    <row r="148" spans="19:19">
      <c r="S148" s="150" t="s">
        <v>1962</v>
      </c>
    </row>
    <row r="149" spans="19:19">
      <c r="S149" s="129"/>
    </row>
    <row r="150" spans="19:19">
      <c r="S150" s="129"/>
    </row>
    <row r="151" spans="19:19">
      <c r="S151" s="178" t="s">
        <v>1963</v>
      </c>
    </row>
    <row r="152" spans="19:19">
      <c r="S152" s="129"/>
    </row>
    <row r="153" spans="19:19">
      <c r="S153" s="150" t="s">
        <v>1964</v>
      </c>
    </row>
    <row r="154" spans="19:19">
      <c r="S154" s="129"/>
    </row>
    <row r="155" spans="19:19">
      <c r="S155" s="129"/>
    </row>
    <row r="156" spans="19:19">
      <c r="S156" s="178" t="s">
        <v>1965</v>
      </c>
    </row>
    <row r="157" spans="19:19">
      <c r="S157" s="129"/>
    </row>
    <row r="158" spans="19:19">
      <c r="S158" s="150" t="s">
        <v>1966</v>
      </c>
    </row>
    <row r="159" spans="19:19">
      <c r="S159" s="129"/>
    </row>
    <row r="160" spans="19:19">
      <c r="S160" s="129"/>
    </row>
    <row r="161" spans="19:19">
      <c r="S161" s="178" t="s">
        <v>1967</v>
      </c>
    </row>
    <row r="163" spans="19:19" ht="21.75">
      <c r="S163" s="177" t="s">
        <v>1968</v>
      </c>
    </row>
    <row r="165" spans="19:19">
      <c r="S165" t="s">
        <v>1969</v>
      </c>
    </row>
    <row r="166" spans="19:19">
      <c r="S166" t="s">
        <v>1970</v>
      </c>
    </row>
    <row r="167" spans="19:19">
      <c r="S167" t="s">
        <v>1971</v>
      </c>
    </row>
    <row r="168" spans="19:19">
      <c r="S168" t="s">
        <v>1972</v>
      </c>
    </row>
    <row r="169" spans="19:19">
      <c r="S169" t="s">
        <v>1973</v>
      </c>
    </row>
    <row r="170" spans="19:19">
      <c r="S170" s="129"/>
    </row>
    <row r="171" spans="19:19">
      <c r="S171" s="150" t="s">
        <v>1974</v>
      </c>
    </row>
    <row r="172" spans="19:19">
      <c r="S172" s="129"/>
    </row>
    <row r="173" spans="19:19">
      <c r="S173" s="129"/>
    </row>
    <row r="174" spans="19:19">
      <c r="S174" s="178" t="s">
        <v>1975</v>
      </c>
    </row>
    <row r="175" spans="19:19">
      <c r="S175" s="129"/>
    </row>
    <row r="176" spans="19:19">
      <c r="S176" s="150" t="s">
        <v>1976</v>
      </c>
    </row>
    <row r="177" spans="19:19">
      <c r="S177" s="129"/>
    </row>
    <row r="178" spans="19:19">
      <c r="S178" s="129"/>
    </row>
    <row r="179" spans="19:19">
      <c r="S179" s="178" t="s">
        <v>1977</v>
      </c>
    </row>
    <row r="180" spans="19:19">
      <c r="S180" s="129"/>
    </row>
    <row r="181" spans="19:19">
      <c r="S181" s="150" t="s">
        <v>1978</v>
      </c>
    </row>
    <row r="182" spans="19:19">
      <c r="S182" s="129"/>
    </row>
    <row r="183" spans="19:19">
      <c r="S183" s="129"/>
    </row>
    <row r="184" spans="19:19">
      <c r="S184" s="178" t="s">
        <v>1979</v>
      </c>
    </row>
    <row r="186" spans="19:19" ht="21.75">
      <c r="S186" s="177" t="s">
        <v>1980</v>
      </c>
    </row>
    <row r="188" spans="19:19">
      <c r="S188" s="150" t="s">
        <v>1981</v>
      </c>
    </row>
    <row r="189" spans="19:19">
      <c r="S189" s="129"/>
    </row>
    <row r="190" spans="19:19">
      <c r="S190" s="129"/>
    </row>
    <row r="191" spans="19:19">
      <c r="S191" s="178" t="s">
        <v>1982</v>
      </c>
    </row>
    <row r="192" spans="19:19">
      <c r="S192" s="129"/>
    </row>
    <row r="193" spans="19:19">
      <c r="S193" s="150" t="s">
        <v>1983</v>
      </c>
    </row>
    <row r="194" spans="19:19">
      <c r="S194" s="129"/>
    </row>
    <row r="195" spans="19:19">
      <c r="S195" s="129"/>
    </row>
    <row r="196" spans="19:19">
      <c r="S196" s="178" t="s">
        <v>1984</v>
      </c>
    </row>
    <row r="197" spans="19:19">
      <c r="S197" s="129"/>
    </row>
    <row r="198" spans="19:19">
      <c r="S198" s="150" t="s">
        <v>1985</v>
      </c>
    </row>
    <row r="199" spans="19:19">
      <c r="S199" s="129"/>
    </row>
    <row r="200" spans="19:19">
      <c r="S200" s="129"/>
    </row>
    <row r="201" spans="19:19">
      <c r="S201" s="178" t="s">
        <v>1986</v>
      </c>
    </row>
    <row r="202" spans="19:19">
      <c r="S202" s="129"/>
    </row>
    <row r="203" spans="19:19">
      <c r="S203" s="150" t="s">
        <v>1987</v>
      </c>
    </row>
    <row r="204" spans="19:19">
      <c r="S204" s="129"/>
    </row>
    <row r="205" spans="19:19">
      <c r="S205" s="129"/>
    </row>
    <row r="206" spans="19:19">
      <c r="S206" s="178" t="s">
        <v>1988</v>
      </c>
    </row>
    <row r="207" spans="19:19">
      <c r="S207" s="129"/>
    </row>
    <row r="208" spans="19:19">
      <c r="S208" s="150" t="s">
        <v>1989</v>
      </c>
    </row>
    <row r="209" spans="19:19">
      <c r="S209" s="129"/>
    </row>
    <row r="210" spans="19:19">
      <c r="S210" s="129"/>
    </row>
    <row r="211" spans="19:19">
      <c r="S211" s="178" t="s">
        <v>1990</v>
      </c>
    </row>
    <row r="212" spans="19:19">
      <c r="S212" s="129"/>
    </row>
    <row r="213" spans="19:19">
      <c r="S213" s="150" t="s">
        <v>1991</v>
      </c>
    </row>
    <row r="214" spans="19:19">
      <c r="S214" s="129"/>
    </row>
    <row r="215" spans="19:19">
      <c r="S215" s="129"/>
    </row>
    <row r="216" spans="19:19">
      <c r="S216" s="178" t="s">
        <v>1992</v>
      </c>
    </row>
    <row r="218" spans="19:19" ht="21.75">
      <c r="S218" s="177" t="s">
        <v>1684</v>
      </c>
    </row>
    <row r="220" spans="19:19">
      <c r="S220" s="127" t="s">
        <v>1993</v>
      </c>
    </row>
    <row r="225" spans="3:17" s="362" customFormat="1">
      <c r="C225" s="361" t="s">
        <v>1994</v>
      </c>
    </row>
    <row r="228" spans="3:17">
      <c r="Q228" s="228" t="s">
        <v>1995</v>
      </c>
    </row>
    <row r="229" spans="3:17">
      <c r="Q229" s="164"/>
    </row>
    <row r="230" spans="3:17">
      <c r="Q230" s="228" t="s">
        <v>1996</v>
      </c>
    </row>
    <row r="231" spans="3:17">
      <c r="Q231" s="164"/>
    </row>
    <row r="232" spans="3:17">
      <c r="Q232" s="228" t="s">
        <v>1997</v>
      </c>
    </row>
    <row r="233" spans="3:17">
      <c r="Q233" s="228" t="s">
        <v>1998</v>
      </c>
    </row>
    <row r="234" spans="3:17">
      <c r="Q234" s="164"/>
    </row>
    <row r="235" spans="3:17">
      <c r="Q235" s="228" t="s">
        <v>1999</v>
      </c>
    </row>
    <row r="236" spans="3:17">
      <c r="Q236" s="228" t="s">
        <v>2000</v>
      </c>
    </row>
    <row r="237" spans="3:17">
      <c r="Q237" s="164"/>
    </row>
    <row r="238" spans="3:17">
      <c r="Q238" s="228" t="s">
        <v>2001</v>
      </c>
    </row>
    <row r="239" spans="3:17">
      <c r="Q239" s="228" t="s">
        <v>2002</v>
      </c>
    </row>
    <row r="240" spans="3:17">
      <c r="Q240" s="164"/>
    </row>
    <row r="241" spans="17:17">
      <c r="Q241" s="228" t="s">
        <v>2003</v>
      </c>
    </row>
    <row r="242" spans="17:17">
      <c r="Q242" s="228" t="s">
        <v>2004</v>
      </c>
    </row>
    <row r="243" spans="17:17">
      <c r="Q243" s="228" t="s">
        <v>2005</v>
      </c>
    </row>
    <row r="244" spans="17:17">
      <c r="Q244" s="164"/>
    </row>
    <row r="245" spans="17:17">
      <c r="Q245" s="228" t="s">
        <v>2006</v>
      </c>
    </row>
    <row r="246" spans="17:17">
      <c r="Q246" s="228" t="s">
        <v>2007</v>
      </c>
    </row>
    <row r="247" spans="17:17">
      <c r="Q247" s="228" t="s">
        <v>2008</v>
      </c>
    </row>
    <row r="248" spans="17:17">
      <c r="Q248" s="164"/>
    </row>
    <row r="249" spans="17:17">
      <c r="Q249" s="228" t="s">
        <v>2009</v>
      </c>
    </row>
    <row r="250" spans="17:17">
      <c r="Q250" s="228" t="s">
        <v>2010</v>
      </c>
    </row>
    <row r="251" spans="17:17">
      <c r="Q251" s="228" t="s">
        <v>2011</v>
      </c>
    </row>
    <row r="252" spans="17:17">
      <c r="Q252" s="228" t="s">
        <v>1931</v>
      </c>
    </row>
    <row r="253" spans="17:17">
      <c r="Q253" s="164"/>
    </row>
    <row r="254" spans="17:17">
      <c r="Q254" s="228" t="s">
        <v>1909</v>
      </c>
    </row>
    <row r="255" spans="17:17">
      <c r="Q255" s="228" t="s">
        <v>2012</v>
      </c>
    </row>
    <row r="256" spans="17:17">
      <c r="Q256" s="228" t="s">
        <v>2013</v>
      </c>
    </row>
    <row r="257" spans="17:17">
      <c r="Q257" s="228" t="s">
        <v>2014</v>
      </c>
    </row>
    <row r="258" spans="17:17">
      <c r="Q258" s="228" t="s">
        <v>2015</v>
      </c>
    </row>
    <row r="259" spans="17:17">
      <c r="Q259" s="228" t="s">
        <v>2016</v>
      </c>
    </row>
    <row r="260" spans="17:17">
      <c r="Q260" s="228" t="s">
        <v>1931</v>
      </c>
    </row>
    <row r="261" spans="17:17">
      <c r="Q261" s="164"/>
    </row>
    <row r="262" spans="17:17">
      <c r="Q262" s="228" t="s">
        <v>1909</v>
      </c>
    </row>
    <row r="263" spans="17:17">
      <c r="Q263" s="228" t="s">
        <v>2017</v>
      </c>
    </row>
    <row r="264" spans="17:17">
      <c r="Q264" s="228" t="s">
        <v>2018</v>
      </c>
    </row>
    <row r="265" spans="17:17">
      <c r="Q265" s="228" t="s">
        <v>2019</v>
      </c>
    </row>
    <row r="266" spans="17:17">
      <c r="Q266" s="228" t="s">
        <v>2020</v>
      </c>
    </row>
    <row r="267" spans="17:17">
      <c r="Q267" s="228" t="s">
        <v>1931</v>
      </c>
    </row>
    <row r="268" spans="17:17">
      <c r="Q268" s="164"/>
    </row>
    <row r="269" spans="17:17">
      <c r="Q269" s="228" t="s">
        <v>1909</v>
      </c>
    </row>
    <row r="270" spans="17:17">
      <c r="Q270" s="228" t="s">
        <v>2021</v>
      </c>
    </row>
    <row r="271" spans="17:17">
      <c r="Q271" s="228" t="s">
        <v>2022</v>
      </c>
    </row>
    <row r="272" spans="17:17">
      <c r="Q272" s="228" t="s">
        <v>1931</v>
      </c>
    </row>
    <row r="273" spans="17:17">
      <c r="Q273" s="164"/>
    </row>
    <row r="274" spans="17:17">
      <c r="Q274" s="228" t="s">
        <v>1909</v>
      </c>
    </row>
    <row r="275" spans="17:17">
      <c r="Q275" s="228" t="s">
        <v>2023</v>
      </c>
    </row>
    <row r="276" spans="17:17">
      <c r="Q276" s="228" t="s">
        <v>2024</v>
      </c>
    </row>
    <row r="277" spans="17:17">
      <c r="Q277" s="228" t="s">
        <v>2025</v>
      </c>
    </row>
    <row r="278" spans="17:17">
      <c r="Q278" s="228" t="s">
        <v>2026</v>
      </c>
    </row>
    <row r="279" spans="17:17">
      <c r="Q279" s="228" t="s">
        <v>2027</v>
      </c>
    </row>
    <row r="280" spans="17:17">
      <c r="Q280" s="228" t="s">
        <v>2028</v>
      </c>
    </row>
    <row r="281" spans="17:17">
      <c r="Q281" s="228" t="s">
        <v>2029</v>
      </c>
    </row>
    <row r="282" spans="17:17">
      <c r="Q282" s="228" t="s">
        <v>2030</v>
      </c>
    </row>
    <row r="283" spans="17:17">
      <c r="Q283" s="228" t="s">
        <v>1931</v>
      </c>
    </row>
    <row r="284" spans="17:17">
      <c r="Q284" s="164"/>
    </row>
    <row r="285" spans="17:17">
      <c r="Q285" s="228" t="s">
        <v>1909</v>
      </c>
    </row>
    <row r="286" spans="17:17">
      <c r="Q286" s="228" t="s">
        <v>2031</v>
      </c>
    </row>
    <row r="287" spans="17:17">
      <c r="Q287" s="228" t="s">
        <v>2032</v>
      </c>
    </row>
    <row r="288" spans="17:17">
      <c r="Q288" s="228" t="s">
        <v>2033</v>
      </c>
    </row>
    <row r="289" spans="3:17">
      <c r="Q289" s="228" t="s">
        <v>2034</v>
      </c>
    </row>
    <row r="290" spans="3:17">
      <c r="Q290" s="228" t="s">
        <v>2035</v>
      </c>
    </row>
    <row r="291" spans="3:17">
      <c r="Q291" s="228" t="s">
        <v>2036</v>
      </c>
    </row>
    <row r="292" spans="3:17">
      <c r="Q292" s="228" t="s">
        <v>1900</v>
      </c>
    </row>
    <row r="293" spans="3:17">
      <c r="Q293" s="228" t="s">
        <v>2037</v>
      </c>
    </row>
    <row r="297" spans="3:17" s="362" customFormat="1">
      <c r="C297" s="361" t="s">
        <v>2038</v>
      </c>
    </row>
    <row r="300" spans="3:17">
      <c r="Q300" s="228" t="s">
        <v>2039</v>
      </c>
    </row>
    <row r="301" spans="3:17">
      <c r="Q301" s="164"/>
    </row>
    <row r="302" spans="3:17">
      <c r="Q302" s="228" t="s">
        <v>2040</v>
      </c>
    </row>
    <row r="303" spans="3:17">
      <c r="Q303" s="164"/>
    </row>
    <row r="304" spans="3:17">
      <c r="Q304" s="228" t="s">
        <v>2041</v>
      </c>
    </row>
    <row r="305" spans="17:17">
      <c r="Q305" s="228" t="s">
        <v>2007</v>
      </c>
    </row>
    <row r="306" spans="17:17">
      <c r="Q306" s="228" t="s">
        <v>2042</v>
      </c>
    </row>
    <row r="307" spans="17:17">
      <c r="Q307" s="228" t="s">
        <v>2043</v>
      </c>
    </row>
    <row r="308" spans="17:17">
      <c r="Q308" s="164"/>
    </row>
    <row r="309" spans="17:17">
      <c r="Q309" s="228" t="s">
        <v>2044</v>
      </c>
    </row>
    <row r="310" spans="17:17">
      <c r="Q310" s="228" t="s">
        <v>2045</v>
      </c>
    </row>
    <row r="311" spans="17:17">
      <c r="Q311" s="228" t="s">
        <v>2046</v>
      </c>
    </row>
    <row r="312" spans="17:17">
      <c r="Q312" s="164"/>
    </row>
    <row r="313" spans="17:17">
      <c r="Q313" s="228" t="s">
        <v>2047</v>
      </c>
    </row>
    <row r="314" spans="17:17">
      <c r="Q314" s="228" t="s">
        <v>2048</v>
      </c>
    </row>
    <row r="315" spans="17:17">
      <c r="Q315" s="164"/>
    </row>
    <row r="316" spans="17:17">
      <c r="Q316" s="228" t="s">
        <v>1999</v>
      </c>
    </row>
    <row r="317" spans="17:17">
      <c r="Q317" s="228" t="s">
        <v>2049</v>
      </c>
    </row>
    <row r="318" spans="17:17">
      <c r="Q318" s="164"/>
    </row>
    <row r="319" spans="17:17">
      <c r="Q319" s="228" t="s">
        <v>2050</v>
      </c>
    </row>
    <row r="320" spans="17:17">
      <c r="Q320" s="228" t="s">
        <v>2051</v>
      </c>
    </row>
    <row r="321" spans="17:17">
      <c r="Q321" s="228" t="s">
        <v>2052</v>
      </c>
    </row>
    <row r="322" spans="17:17">
      <c r="Q322" s="164"/>
    </row>
    <row r="323" spans="17:17">
      <c r="Q323" s="228" t="s">
        <v>2053</v>
      </c>
    </row>
    <row r="324" spans="17:17">
      <c r="Q324" s="228" t="s">
        <v>2054</v>
      </c>
    </row>
    <row r="325" spans="17:17">
      <c r="Q325" s="228" t="s">
        <v>2014</v>
      </c>
    </row>
    <row r="326" spans="17:17">
      <c r="Q326" s="228" t="s">
        <v>2055</v>
      </c>
    </row>
    <row r="327" spans="17:17">
      <c r="Q327" s="228" t="s">
        <v>2056</v>
      </c>
    </row>
    <row r="328" spans="17:17">
      <c r="Q328" s="164"/>
    </row>
    <row r="329" spans="17:17">
      <c r="Q329" s="228" t="s">
        <v>2057</v>
      </c>
    </row>
    <row r="330" spans="17:17">
      <c r="Q330" s="228" t="s">
        <v>2058</v>
      </c>
    </row>
    <row r="331" spans="17:17">
      <c r="Q331" s="228" t="s">
        <v>2059</v>
      </c>
    </row>
    <row r="332" spans="17:17">
      <c r="Q332" s="228" t="s">
        <v>2060</v>
      </c>
    </row>
    <row r="333" spans="17:17">
      <c r="Q333" s="164"/>
    </row>
    <row r="334" spans="17:17">
      <c r="Q334" s="228" t="s">
        <v>2061</v>
      </c>
    </row>
    <row r="335" spans="17:17">
      <c r="Q335" s="228" t="s">
        <v>2062</v>
      </c>
    </row>
    <row r="336" spans="17:17">
      <c r="Q336" s="164"/>
    </row>
    <row r="337" spans="17:17">
      <c r="Q337" s="228" t="s">
        <v>2063</v>
      </c>
    </row>
    <row r="338" spans="17:17">
      <c r="Q338" s="228" t="s">
        <v>2064</v>
      </c>
    </row>
    <row r="339" spans="17:17">
      <c r="Q339" s="228" t="s">
        <v>2065</v>
      </c>
    </row>
    <row r="340" spans="17:17">
      <c r="Q340" s="228" t="s">
        <v>2025</v>
      </c>
    </row>
    <row r="341" spans="17:17">
      <c r="Q341" s="228" t="s">
        <v>2066</v>
      </c>
    </row>
    <row r="342" spans="17:17">
      <c r="Q342" s="228" t="s">
        <v>2027</v>
      </c>
    </row>
    <row r="343" spans="17:17">
      <c r="Q343" s="228" t="s">
        <v>2067</v>
      </c>
    </row>
    <row r="344" spans="17:17">
      <c r="Q344" s="228" t="s">
        <v>2068</v>
      </c>
    </row>
    <row r="345" spans="17:17">
      <c r="Q345" s="164"/>
    </row>
    <row r="346" spans="17:17">
      <c r="Q346" s="228" t="s">
        <v>2069</v>
      </c>
    </row>
    <row r="347" spans="17:17">
      <c r="Q347" s="228" t="s">
        <v>2070</v>
      </c>
    </row>
    <row r="348" spans="17:17">
      <c r="Q348" s="228" t="s">
        <v>2071</v>
      </c>
    </row>
    <row r="349" spans="17:17">
      <c r="Q349" s="228" t="s">
        <v>2072</v>
      </c>
    </row>
    <row r="350" spans="17:17">
      <c r="Q350" s="228" t="s">
        <v>1890</v>
      </c>
    </row>
    <row r="351" spans="17:17">
      <c r="Q351" s="164"/>
    </row>
    <row r="352" spans="17:17">
      <c r="Q352" s="228" t="s">
        <v>2073</v>
      </c>
    </row>
    <row r="353" spans="2:19">
      <c r="Q353" s="228" t="s">
        <v>2074</v>
      </c>
    </row>
    <row r="354" spans="2:19">
      <c r="Q354" s="228" t="s">
        <v>2075</v>
      </c>
    </row>
    <row r="355" spans="2:19">
      <c r="Q355" s="228" t="s">
        <v>2076</v>
      </c>
    </row>
    <row r="356" spans="2:19">
      <c r="Q356" s="228" t="s">
        <v>2077</v>
      </c>
    </row>
    <row r="357" spans="2:19">
      <c r="Q357" s="228" t="s">
        <v>1950</v>
      </c>
    </row>
    <row r="358" spans="2:19">
      <c r="Q358" s="228" t="s">
        <v>1900</v>
      </c>
    </row>
    <row r="359" spans="2:19">
      <c r="Q359" s="228"/>
    </row>
    <row r="360" spans="2:19">
      <c r="Q360" s="228"/>
    </row>
    <row r="361" spans="2:19">
      <c r="Q361" s="228" t="s">
        <v>2078</v>
      </c>
    </row>
    <row r="363" spans="2:19" s="1" customFormat="1">
      <c r="B363" s="168" t="s">
        <v>1869</v>
      </c>
      <c r="S363" s="129"/>
    </row>
    <row r="403" spans="3:26">
      <c r="C403" t="s">
        <v>2375</v>
      </c>
      <c r="I403" t="s">
        <v>2288</v>
      </c>
    </row>
    <row r="404" spans="3:26" s="161" customFormat="1">
      <c r="C404" s="376" t="s">
        <v>2286</v>
      </c>
      <c r="I404" s="394" t="s">
        <v>2287</v>
      </c>
    </row>
    <row r="405" spans="3:26" ht="21.75">
      <c r="D405" s="377" t="s">
        <v>2301</v>
      </c>
      <c r="L405" s="378" t="s">
        <v>2289</v>
      </c>
      <c r="Z405" s="177" t="s">
        <v>1953</v>
      </c>
    </row>
    <row r="406" spans="3:26">
      <c r="L406" s="378" t="s">
        <v>2290</v>
      </c>
      <c r="Z406" s="129"/>
    </row>
    <row r="407" spans="3:26">
      <c r="L407" s="379" t="s">
        <v>2291</v>
      </c>
      <c r="Z407" s="150" t="s">
        <v>2302</v>
      </c>
    </row>
    <row r="408" spans="3:26">
      <c r="L408" t="s">
        <v>2292</v>
      </c>
      <c r="U408" s="378"/>
      <c r="Z408" s="178" t="s">
        <v>2303</v>
      </c>
    </row>
    <row r="409" spans="3:26">
      <c r="L409" s="381" t="s">
        <v>2293</v>
      </c>
      <c r="Z409" s="150" t="s">
        <v>1956</v>
      </c>
    </row>
    <row r="410" spans="3:26">
      <c r="M410" t="s">
        <v>2296</v>
      </c>
      <c r="P410" s="90"/>
      <c r="U410" s="378" t="s">
        <v>2295</v>
      </c>
      <c r="Z410" s="150" t="s">
        <v>2304</v>
      </c>
    </row>
    <row r="411" spans="3:26">
      <c r="L411" s="380">
        <v>36951</v>
      </c>
      <c r="M411" s="365">
        <v>12.10755834623</v>
      </c>
      <c r="Z411" s="178" t="s">
        <v>2305</v>
      </c>
    </row>
    <row r="413" spans="3:26" ht="21.75">
      <c r="Q413" s="344" t="s">
        <v>2294</v>
      </c>
      <c r="Z413" s="177" t="s">
        <v>2306</v>
      </c>
    </row>
    <row r="414" spans="3:26" ht="20.25">
      <c r="M414">
        <f>0.5998</f>
        <v>0.5998</v>
      </c>
      <c r="O414">
        <f>M411</f>
        <v>12.10755834623</v>
      </c>
      <c r="Q414" s="382">
        <f>M414*O414</f>
        <v>7.2621134960687543</v>
      </c>
      <c r="Z414" s="129"/>
    </row>
    <row r="415" spans="3:26">
      <c r="Z415" s="150" t="s">
        <v>2307</v>
      </c>
    </row>
    <row r="416" spans="3:26">
      <c r="M416" t="s">
        <v>2297</v>
      </c>
      <c r="Z416" s="129"/>
    </row>
    <row r="417" spans="12:26">
      <c r="L417" t="s">
        <v>2336</v>
      </c>
      <c r="M417" t="s">
        <v>2298</v>
      </c>
      <c r="W417" t="s">
        <v>2299</v>
      </c>
      <c r="Z417" s="129"/>
    </row>
    <row r="418" spans="12:26">
      <c r="L418">
        <v>2004271</v>
      </c>
      <c r="N418">
        <v>7262</v>
      </c>
      <c r="P418" t="s">
        <v>2300</v>
      </c>
      <c r="Q418">
        <f>L418+N418</f>
        <v>2011533</v>
      </c>
      <c r="R418" t="s">
        <v>2337</v>
      </c>
      <c r="W418" s="84" t="s">
        <v>2204</v>
      </c>
      <c r="X418" s="385">
        <v>2023792</v>
      </c>
      <c r="Z418" s="178" t="s">
        <v>2308</v>
      </c>
    </row>
    <row r="419" spans="12:26">
      <c r="T419" t="s">
        <v>2338</v>
      </c>
      <c r="U419" s="386">
        <f>X418-Q418</f>
        <v>12259</v>
      </c>
      <c r="Z419" s="129"/>
    </row>
    <row r="420" spans="12:26">
      <c r="Z420" s="150" t="s">
        <v>2309</v>
      </c>
    </row>
    <row r="421" spans="12:26">
      <c r="Z421" s="129"/>
    </row>
    <row r="422" spans="12:26">
      <c r="Z422" s="129"/>
    </row>
    <row r="423" spans="12:26">
      <c r="Z423" s="178" t="s">
        <v>2310</v>
      </c>
    </row>
    <row r="424" spans="12:26">
      <c r="Z424" s="129"/>
    </row>
    <row r="425" spans="12:26">
      <c r="Z425" s="150" t="s">
        <v>2311</v>
      </c>
    </row>
    <row r="426" spans="12:26">
      <c r="Z426" s="129"/>
    </row>
    <row r="427" spans="12:26">
      <c r="Z427" s="129"/>
    </row>
    <row r="428" spans="12:26">
      <c r="Z428" s="178" t="s">
        <v>2312</v>
      </c>
    </row>
    <row r="430" spans="12:26" ht="21.75">
      <c r="Z430" s="177" t="s">
        <v>1968</v>
      </c>
    </row>
    <row r="432" spans="12:26">
      <c r="Z432" t="s">
        <v>2313</v>
      </c>
    </row>
    <row r="433" spans="2:26">
      <c r="Z433" t="s">
        <v>2314</v>
      </c>
    </row>
    <row r="434" spans="2:26">
      <c r="Z434" t="s">
        <v>2315</v>
      </c>
    </row>
    <row r="435" spans="2:26">
      <c r="Z435" t="s">
        <v>2316</v>
      </c>
    </row>
    <row r="436" spans="2:26">
      <c r="Z436" t="s">
        <v>2317</v>
      </c>
    </row>
    <row r="437" spans="2:26">
      <c r="Z437" s="129"/>
    </row>
    <row r="438" spans="2:26">
      <c r="Z438" s="150" t="s">
        <v>2318</v>
      </c>
    </row>
    <row r="439" spans="2:26">
      <c r="Z439" s="129"/>
    </row>
    <row r="440" spans="2:26">
      <c r="Z440" s="129"/>
    </row>
    <row r="441" spans="2:26">
      <c r="Z441" s="178" t="s">
        <v>2319</v>
      </c>
    </row>
    <row r="442" spans="2:26">
      <c r="Z442" s="129"/>
    </row>
    <row r="443" spans="2:26">
      <c r="Z443" s="150" t="s">
        <v>2320</v>
      </c>
    </row>
    <row r="444" spans="2:26">
      <c r="Z444" s="129"/>
    </row>
    <row r="445" spans="2:26" s="161" customFormat="1">
      <c r="B445" s="161" t="s">
        <v>2334</v>
      </c>
      <c r="Z445" s="384"/>
    </row>
    <row r="446" spans="2:26">
      <c r="Z446" s="178" t="s">
        <v>2321</v>
      </c>
    </row>
    <row r="447" spans="2:26">
      <c r="B447" t="s">
        <v>2335</v>
      </c>
      <c r="Z447" s="129"/>
    </row>
    <row r="448" spans="2:26">
      <c r="Z448" s="150" t="s">
        <v>2322</v>
      </c>
    </row>
    <row r="449" spans="26:26">
      <c r="Z449" s="129"/>
    </row>
    <row r="450" spans="26:26">
      <c r="Z450" s="129"/>
    </row>
    <row r="451" spans="26:26">
      <c r="Z451" s="178" t="s">
        <v>2323</v>
      </c>
    </row>
    <row r="453" spans="26:26" ht="21.75">
      <c r="Z453" s="177" t="s">
        <v>2324</v>
      </c>
    </row>
    <row r="454" spans="26:26">
      <c r="Z454" s="129"/>
    </row>
    <row r="455" spans="26:26">
      <c r="Z455" s="150" t="s">
        <v>2325</v>
      </c>
    </row>
    <row r="456" spans="26:26">
      <c r="Z456" s="129"/>
    </row>
    <row r="457" spans="26:26">
      <c r="Z457" s="129"/>
    </row>
    <row r="458" spans="26:26">
      <c r="Z458" s="383" t="s">
        <v>2326</v>
      </c>
    </row>
    <row r="459" spans="26:26">
      <c r="Z459" s="129"/>
    </row>
    <row r="460" spans="26:26">
      <c r="Z460" s="150" t="s">
        <v>2327</v>
      </c>
    </row>
    <row r="461" spans="26:26">
      <c r="Z461" s="129"/>
    </row>
    <row r="462" spans="26:26">
      <c r="Z462" s="129"/>
    </row>
    <row r="463" spans="26:26">
      <c r="Z463" s="178" t="s">
        <v>2328</v>
      </c>
    </row>
    <row r="464" spans="26:26">
      <c r="Z464" s="129"/>
    </row>
    <row r="465" spans="26:26">
      <c r="Z465" s="150" t="s">
        <v>2329</v>
      </c>
    </row>
    <row r="466" spans="26:26">
      <c r="Z466" s="129"/>
    </row>
    <row r="467" spans="26:26">
      <c r="Z467" s="129"/>
    </row>
    <row r="468" spans="26:26">
      <c r="Z468" s="178" t="s">
        <v>2330</v>
      </c>
    </row>
    <row r="469" spans="26:26">
      <c r="Z469" s="129"/>
    </row>
    <row r="470" spans="26:26">
      <c r="Z470" s="150" t="s">
        <v>2331</v>
      </c>
    </row>
    <row r="471" spans="26:26">
      <c r="Z471" s="129"/>
    </row>
    <row r="472" spans="26:26">
      <c r="Z472" s="129"/>
    </row>
    <row r="473" spans="26:26">
      <c r="Z473" s="178" t="s">
        <v>2332</v>
      </c>
    </row>
    <row r="475" spans="26:26" ht="21.75">
      <c r="Z475" s="177" t="s">
        <v>1684</v>
      </c>
    </row>
    <row r="477" spans="26:26">
      <c r="Z477" t="s">
        <v>2333</v>
      </c>
    </row>
    <row r="502" spans="2:14" s="1" customFormat="1" ht="20.25">
      <c r="B502" s="388" t="s">
        <v>2339</v>
      </c>
      <c r="E502" s="1" t="s">
        <v>2352</v>
      </c>
      <c r="N502" s="393" t="s">
        <v>2367</v>
      </c>
    </row>
    <row r="503" spans="2:14">
      <c r="N503" t="s">
        <v>2368</v>
      </c>
    </row>
    <row r="504" spans="2:14">
      <c r="E504" t="s">
        <v>2370</v>
      </c>
    </row>
    <row r="505" spans="2:14" s="186" customFormat="1">
      <c r="B505" s="186" t="s">
        <v>2340</v>
      </c>
    </row>
    <row r="507" spans="2:14">
      <c r="C507" s="90" t="s">
        <v>2347</v>
      </c>
      <c r="H507" t="s">
        <v>2359</v>
      </c>
    </row>
    <row r="508" spans="2:14">
      <c r="C508" s="129"/>
      <c r="H508" t="s">
        <v>2360</v>
      </c>
    </row>
    <row r="509" spans="2:14">
      <c r="C509" s="129" t="s">
        <v>2348</v>
      </c>
      <c r="H509" t="s">
        <v>2361</v>
      </c>
    </row>
    <row r="510" spans="2:14">
      <c r="C510" s="129" t="s">
        <v>2349</v>
      </c>
    </row>
    <row r="511" spans="2:14">
      <c r="C511" s="129"/>
    </row>
    <row r="512" spans="2:14">
      <c r="C512" s="129"/>
      <c r="E512" t="s">
        <v>2353</v>
      </c>
      <c r="G512" t="s">
        <v>2354</v>
      </c>
      <c r="K512" t="s">
        <v>2357</v>
      </c>
    </row>
    <row r="513" spans="3:23">
      <c r="C513" s="129"/>
      <c r="V513" t="s">
        <v>2299</v>
      </c>
    </row>
    <row r="514" spans="3:23">
      <c r="C514" s="129"/>
      <c r="T514">
        <v>2004271</v>
      </c>
      <c r="V514" s="84" t="s">
        <v>2204</v>
      </c>
      <c r="W514" s="391">
        <v>2023792</v>
      </c>
    </row>
    <row r="515" spans="3:23">
      <c r="C515" s="129"/>
      <c r="S515" s="137" t="s">
        <v>2363</v>
      </c>
      <c r="T515">
        <v>31000</v>
      </c>
    </row>
    <row r="516" spans="3:23">
      <c r="C516" s="129"/>
      <c r="S516" s="390" t="s">
        <v>2362</v>
      </c>
      <c r="T516">
        <f>T514+T515</f>
        <v>2035271</v>
      </c>
    </row>
    <row r="517" spans="3:23">
      <c r="C517" s="129"/>
      <c r="E517" t="s">
        <v>2355</v>
      </c>
      <c r="G517" t="s">
        <v>2356</v>
      </c>
      <c r="K517" t="s">
        <v>2358</v>
      </c>
      <c r="V517" t="s">
        <v>2364</v>
      </c>
      <c r="W517" s="392">
        <f>W514-T516</f>
        <v>-11479</v>
      </c>
    </row>
    <row r="518" spans="3:23">
      <c r="C518" s="129"/>
    </row>
    <row r="519" spans="3:23">
      <c r="C519" s="129"/>
    </row>
    <row r="520" spans="3:23">
      <c r="C520" s="129"/>
    </row>
    <row r="521" spans="3:23">
      <c r="C521" s="129"/>
    </row>
    <row r="522" spans="3:23">
      <c r="C522" s="129"/>
    </row>
    <row r="523" spans="3:23">
      <c r="C523" s="129"/>
    </row>
    <row r="524" spans="3:23">
      <c r="C524" s="129"/>
    </row>
    <row r="525" spans="3:23">
      <c r="C525" s="129"/>
    </row>
    <row r="526" spans="3:23">
      <c r="C526" s="129"/>
    </row>
    <row r="527" spans="3:23">
      <c r="C527" s="129"/>
    </row>
    <row r="528" spans="3:23">
      <c r="C528" s="129"/>
    </row>
    <row r="529" spans="3:9">
      <c r="C529" s="129"/>
    </row>
    <row r="530" spans="3:9">
      <c r="C530" s="129"/>
    </row>
    <row r="532" spans="3:9">
      <c r="C532" s="90" t="s">
        <v>2365</v>
      </c>
      <c r="I532" t="s">
        <v>2366</v>
      </c>
    </row>
    <row r="533" spans="3:9">
      <c r="C533" s="90"/>
    </row>
    <row r="534" spans="3:9">
      <c r="C534" s="129"/>
    </row>
    <row r="535" spans="3:9">
      <c r="C535" s="129" t="s">
        <v>2350</v>
      </c>
    </row>
    <row r="536" spans="3:9">
      <c r="C536" s="129" t="s">
        <v>2351</v>
      </c>
    </row>
    <row r="537" spans="3:9">
      <c r="C537" s="129"/>
    </row>
    <row r="538" spans="3:9">
      <c r="C538" s="129"/>
    </row>
    <row r="539" spans="3:9">
      <c r="C539" s="129"/>
    </row>
    <row r="540" spans="3:9">
      <c r="C540" s="129"/>
    </row>
    <row r="541" spans="3:9">
      <c r="C541" s="129"/>
    </row>
    <row r="542" spans="3:9">
      <c r="C542" s="129"/>
    </row>
    <row r="543" spans="3:9">
      <c r="C543" s="129"/>
    </row>
    <row r="544" spans="3:9">
      <c r="C544" s="401"/>
      <c r="D544" s="402"/>
      <c r="E544" s="402"/>
      <c r="F544" s="402"/>
      <c r="G544" s="402"/>
      <c r="H544" s="402"/>
    </row>
    <row r="545" spans="3:12">
      <c r="C545" s="403"/>
      <c r="D545" s="149"/>
      <c r="E545" s="149"/>
      <c r="F545" s="149"/>
      <c r="G545" s="149"/>
      <c r="H545" s="149"/>
    </row>
    <row r="546" spans="3:12" ht="17.25">
      <c r="C546" s="404"/>
      <c r="D546" s="149"/>
      <c r="E546" s="402"/>
      <c r="F546" s="402"/>
      <c r="G546" s="402"/>
      <c r="H546" s="402"/>
    </row>
    <row r="547" spans="3:12" ht="17.25">
      <c r="C547" s="389"/>
    </row>
    <row r="548" spans="3:12" ht="17.25">
      <c r="C548" s="389"/>
    </row>
    <row r="549" spans="3:12" ht="17.25">
      <c r="C549" s="389"/>
    </row>
    <row r="550" spans="3:12" ht="17.25">
      <c r="C550" s="389"/>
    </row>
    <row r="551" spans="3:12" ht="17.25">
      <c r="C551" s="389"/>
    </row>
    <row r="552" spans="3:12" ht="17.25">
      <c r="C552" s="389"/>
    </row>
    <row r="553" spans="3:12" ht="17.25">
      <c r="C553" s="389"/>
    </row>
    <row r="554" spans="3:12" ht="17.25">
      <c r="C554" s="389"/>
      <c r="J554" t="s">
        <v>2404</v>
      </c>
      <c r="L554">
        <v>2004271</v>
      </c>
    </row>
    <row r="555" spans="3:12" ht="17.25">
      <c r="C555" s="389"/>
      <c r="J555" t="s">
        <v>2405</v>
      </c>
      <c r="L555">
        <v>14143</v>
      </c>
    </row>
    <row r="556" spans="3:12" ht="17.25">
      <c r="C556" s="389"/>
      <c r="K556" t="s">
        <v>2406</v>
      </c>
      <c r="L556">
        <f>L554-L555</f>
        <v>1990128</v>
      </c>
    </row>
    <row r="557" spans="3:12" ht="17.25">
      <c r="C557" s="389"/>
    </row>
    <row r="558" spans="3:12" ht="17.25">
      <c r="C558" s="389"/>
      <c r="J558" t="s">
        <v>2403</v>
      </c>
      <c r="L558">
        <v>2023792</v>
      </c>
    </row>
    <row r="559" spans="3:12" ht="17.25">
      <c r="C559" s="389"/>
    </row>
    <row r="560" spans="3:12" ht="17.25">
      <c r="C560" s="389"/>
      <c r="K560" t="s">
        <v>2407</v>
      </c>
      <c r="L560">
        <f>L558-L556</f>
        <v>33664</v>
      </c>
    </row>
    <row r="561" spans="2:3" ht="17.25">
      <c r="C561" s="389"/>
    </row>
    <row r="562" spans="2:3" ht="17.25">
      <c r="C562" s="389"/>
    </row>
    <row r="563" spans="2:3" ht="17.25">
      <c r="C563" s="389"/>
    </row>
    <row r="564" spans="2:3" s="186" customFormat="1">
      <c r="B564" s="186" t="s">
        <v>2372</v>
      </c>
    </row>
    <row r="565" spans="2:3" ht="17.25">
      <c r="C565" s="389"/>
    </row>
    <row r="566" spans="2:3" ht="17.25">
      <c r="C566" s="389"/>
    </row>
    <row r="567" spans="2:3" ht="17.25">
      <c r="C567" s="389" t="s">
        <v>2373</v>
      </c>
    </row>
    <row r="568" spans="2:3" ht="17.25">
      <c r="C568" s="389"/>
    </row>
    <row r="569" spans="2:3" ht="17.25">
      <c r="C569" s="389"/>
    </row>
    <row r="570" spans="2:3" ht="17.25">
      <c r="C570" s="389"/>
    </row>
    <row r="571" spans="2:3" ht="17.25">
      <c r="C571" s="389"/>
    </row>
    <row r="572" spans="2:3" ht="17.25">
      <c r="C572" s="389"/>
    </row>
    <row r="573" spans="2:3" ht="17.25">
      <c r="C573" s="389"/>
    </row>
    <row r="574" spans="2:3">
      <c r="C574" s="90" t="s">
        <v>2341</v>
      </c>
    </row>
    <row r="575" spans="2:3">
      <c r="C575" s="129"/>
    </row>
    <row r="576" spans="2:3">
      <c r="C576" s="129" t="s">
        <v>2342</v>
      </c>
    </row>
    <row r="577" spans="3:3">
      <c r="C577" s="129" t="s">
        <v>2343</v>
      </c>
    </row>
    <row r="579" spans="3:3">
      <c r="C579" s="90" t="s">
        <v>2344</v>
      </c>
    </row>
    <row r="580" spans="3:3">
      <c r="C580" s="129"/>
    </row>
    <row r="581" spans="3:3">
      <c r="C581" s="129" t="s">
        <v>2345</v>
      </c>
    </row>
    <row r="582" spans="3:3">
      <c r="C582" s="129" t="s">
        <v>2346</v>
      </c>
    </row>
    <row r="620" spans="1:24" ht="26.25">
      <c r="A620" s="378" t="s">
        <v>2408</v>
      </c>
      <c r="N620" s="416" t="s">
        <v>2409</v>
      </c>
      <c r="O620" t="s">
        <v>2415</v>
      </c>
      <c r="X620" s="417" t="s">
        <v>2410</v>
      </c>
    </row>
    <row r="621" spans="1:24">
      <c r="C621" s="378"/>
      <c r="X621" s="129"/>
    </row>
    <row r="622" spans="1:24">
      <c r="C622" s="378"/>
      <c r="X622" s="150" t="s">
        <v>2411</v>
      </c>
    </row>
    <row r="623" spans="1:24">
      <c r="C623" s="378"/>
      <c r="X623" s="129"/>
    </row>
    <row r="624" spans="1:24">
      <c r="C624" s="378"/>
      <c r="X624" s="129" t="s">
        <v>2412</v>
      </c>
    </row>
    <row r="625" spans="3:24">
      <c r="C625" s="378"/>
      <c r="X625" s="129"/>
    </row>
    <row r="626" spans="3:24">
      <c r="C626" s="378"/>
      <c r="X626" s="129"/>
    </row>
    <row r="627" spans="3:24">
      <c r="C627" s="378"/>
      <c r="X627" s="418" t="s">
        <v>2413</v>
      </c>
    </row>
    <row r="628" spans="3:24">
      <c r="C628" s="378"/>
      <c r="X628" s="129"/>
    </row>
    <row r="629" spans="3:24">
      <c r="C629" s="378"/>
      <c r="X629" s="150" t="s">
        <v>2414</v>
      </c>
    </row>
    <row r="630" spans="3:24">
      <c r="C630" s="378"/>
    </row>
    <row r="631" spans="3:24">
      <c r="C631" s="378"/>
    </row>
    <row r="632" spans="3:24">
      <c r="C632" s="378"/>
    </row>
    <row r="636" spans="3:24" s="453" customFormat="1" ht="26.25">
      <c r="C636" s="454" t="s">
        <v>2660</v>
      </c>
    </row>
    <row r="639" spans="3:24">
      <c r="C639" s="455" t="s">
        <v>2661</v>
      </c>
    </row>
    <row r="640" spans="3:24">
      <c r="C640" s="456"/>
    </row>
    <row r="641" spans="3:3">
      <c r="C641" s="455" t="s">
        <v>2662</v>
      </c>
    </row>
    <row r="642" spans="3:3">
      <c r="C642" s="456"/>
    </row>
    <row r="643" spans="3:3">
      <c r="C643" s="455" t="s">
        <v>2663</v>
      </c>
    </row>
    <row r="644" spans="3:3">
      <c r="C644" s="455" t="s">
        <v>2664</v>
      </c>
    </row>
    <row r="645" spans="3:3">
      <c r="C645" s="455" t="s">
        <v>2665</v>
      </c>
    </row>
    <row r="646" spans="3:3">
      <c r="C646" s="456"/>
    </row>
    <row r="647" spans="3:3">
      <c r="C647" s="456" t="s">
        <v>2666</v>
      </c>
    </row>
    <row r="648" spans="3:3">
      <c r="C648" s="456"/>
    </row>
    <row r="649" spans="3:3">
      <c r="C649" s="455" t="s">
        <v>2667</v>
      </c>
    </row>
    <row r="650" spans="3:3">
      <c r="C650" s="455" t="s">
        <v>2668</v>
      </c>
    </row>
    <row r="651" spans="3:3">
      <c r="C651" s="456"/>
    </row>
    <row r="652" spans="3:3">
      <c r="C652" s="455" t="s">
        <v>2669</v>
      </c>
    </row>
    <row r="653" spans="3:3">
      <c r="C653" s="457"/>
    </row>
    <row r="654" spans="3:3">
      <c r="C654" s="455" t="s">
        <v>2670</v>
      </c>
    </row>
    <row r="655" spans="3:3">
      <c r="C655" s="457"/>
    </row>
    <row r="656" spans="3:3">
      <c r="C656" s="455" t="s">
        <v>2671</v>
      </c>
    </row>
    <row r="657" spans="3:3">
      <c r="C657" s="455" t="s">
        <v>2672</v>
      </c>
    </row>
    <row r="658" spans="3:3">
      <c r="C658" s="457"/>
    </row>
    <row r="659" spans="3:3">
      <c r="C659" s="455" t="s">
        <v>2673</v>
      </c>
    </row>
    <row r="660" spans="3:3">
      <c r="C660" s="457"/>
    </row>
    <row r="661" spans="3:3">
      <c r="C661" s="455" t="s">
        <v>2674</v>
      </c>
    </row>
    <row r="662" spans="3:3">
      <c r="C662" s="455" t="s">
        <v>2675</v>
      </c>
    </row>
    <row r="663" spans="3:3">
      <c r="C663" s="456"/>
    </row>
    <row r="664" spans="3:3">
      <c r="C664" s="456"/>
    </row>
    <row r="665" spans="3:3">
      <c r="C665" s="455" t="s">
        <v>2676</v>
      </c>
    </row>
    <row r="666" spans="3:3">
      <c r="C666" s="457" t="s">
        <v>2677</v>
      </c>
    </row>
    <row r="667" spans="3:3">
      <c r="C667" s="455" t="s">
        <v>2678</v>
      </c>
    </row>
    <row r="668" spans="3:3">
      <c r="C668" s="455"/>
    </row>
    <row r="669" spans="3:3">
      <c r="C669" s="455" t="s">
        <v>2679</v>
      </c>
    </row>
    <row r="670" spans="3:3">
      <c r="C670" s="455" t="s">
        <v>2680</v>
      </c>
    </row>
    <row r="671" spans="3:3">
      <c r="C671" s="455" t="s">
        <v>2681</v>
      </c>
    </row>
    <row r="672" spans="3:3">
      <c r="C672" s="455" t="s">
        <v>2682</v>
      </c>
    </row>
    <row r="673" spans="3:3">
      <c r="C673" s="455"/>
    </row>
    <row r="674" spans="3:3">
      <c r="C674" s="455" t="s">
        <v>2683</v>
      </c>
    </row>
    <row r="675" spans="3:3">
      <c r="C675" s="455" t="s">
        <v>2684</v>
      </c>
    </row>
    <row r="676" spans="3:3">
      <c r="C676" s="455" t="s">
        <v>2685</v>
      </c>
    </row>
    <row r="677" spans="3:3">
      <c r="C677" s="457" t="s">
        <v>615</v>
      </c>
    </row>
    <row r="678" spans="3:3">
      <c r="C678" s="455" t="s">
        <v>2686</v>
      </c>
    </row>
    <row r="679" spans="3:3">
      <c r="C679" s="455" t="s">
        <v>2687</v>
      </c>
    </row>
    <row r="680" spans="3:3">
      <c r="C680" s="455" t="s">
        <v>2688</v>
      </c>
    </row>
    <row r="681" spans="3:3">
      <c r="C681" s="455" t="s">
        <v>2689</v>
      </c>
    </row>
    <row r="682" spans="3:3">
      <c r="C682" s="455" t="s">
        <v>2690</v>
      </c>
    </row>
    <row r="683" spans="3:3">
      <c r="C683" s="457"/>
    </row>
    <row r="684" spans="3:3" s="130" customFormat="1">
      <c r="C684" s="458" t="s">
        <v>2691</v>
      </c>
    </row>
    <row r="689" spans="2:2" s="1" customFormat="1">
      <c r="B689" s="168" t="s">
        <v>2374</v>
      </c>
    </row>
  </sheetData>
  <phoneticPr fontId="5" type="noConversion"/>
  <hyperlinks>
    <hyperlink ref="N502" r:id="rId1" location="gid=30312823" xr:uid="{00000000-0004-0000-3400-000000000000}"/>
    <hyperlink ref="M1" r:id="rId2" location="slide=id.g31e6f597ad5_0_126" xr:uid="{00000000-0004-0000-3400-000001000000}"/>
  </hyperlinks>
  <pageMargins left="0.7" right="0.7" top="0.75" bottom="0.75" header="0.3" footer="0.3"/>
  <drawing r:id="rId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dimension ref="A1:K160"/>
  <sheetViews>
    <sheetView workbookViewId="0">
      <pane ySplit="8910" topLeftCell="A152"/>
      <selection activeCell="M26" sqref="M26"/>
      <selection pane="bottomLeft" activeCell="J162" sqref="J162"/>
    </sheetView>
  </sheetViews>
  <sheetFormatPr defaultRowHeight="16.5"/>
  <cols>
    <col min="1" max="1" width="13.5" customWidth="1"/>
  </cols>
  <sheetData>
    <row r="1" spans="1:11">
      <c r="A1" s="84" t="s">
        <v>2079</v>
      </c>
      <c r="B1" s="84" t="s">
        <v>2080</v>
      </c>
      <c r="C1" t="s">
        <v>2241</v>
      </c>
      <c r="D1" t="s">
        <v>2242</v>
      </c>
      <c r="F1" s="84" t="s">
        <v>2243</v>
      </c>
      <c r="K1">
        <f>CORREL(B3:B26,C3:C26)</f>
        <v>6.4039369999066217E-2</v>
      </c>
    </row>
    <row r="2" spans="1:11">
      <c r="A2" s="363" t="s">
        <v>2081</v>
      </c>
      <c r="B2" s="370">
        <v>1708.9169999999999</v>
      </c>
      <c r="F2" s="84" t="s">
        <v>2244</v>
      </c>
      <c r="K2">
        <f>CORREL(B4:B26,D4:D26)</f>
        <v>-0.16058848351814584</v>
      </c>
    </row>
    <row r="3" spans="1:11">
      <c r="A3" s="363" t="s">
        <v>2082</v>
      </c>
      <c r="B3" s="364">
        <v>1620.586</v>
      </c>
      <c r="C3" s="368">
        <f>B2</f>
        <v>1708.9169999999999</v>
      </c>
    </row>
    <row r="4" spans="1:11">
      <c r="A4" s="363" t="s">
        <v>2083</v>
      </c>
      <c r="B4" s="364">
        <v>1972.7149999999999</v>
      </c>
      <c r="C4" s="367">
        <f t="shared" ref="C4:C67" si="0">B3</f>
        <v>1620.586</v>
      </c>
      <c r="D4" s="368">
        <f>B2</f>
        <v>1708.9169999999999</v>
      </c>
    </row>
    <row r="5" spans="1:11">
      <c r="A5" s="363" t="s">
        <v>2084</v>
      </c>
      <c r="B5" s="364">
        <v>1811.665</v>
      </c>
      <c r="C5" s="367">
        <f t="shared" si="0"/>
        <v>1972.7149999999999</v>
      </c>
      <c r="D5" s="367">
        <f t="shared" ref="D5:D68" si="1">B3</f>
        <v>1620.586</v>
      </c>
    </row>
    <row r="6" spans="1:11">
      <c r="A6" s="363" t="s">
        <v>2085</v>
      </c>
      <c r="B6" s="364">
        <v>1974.9639999999999</v>
      </c>
      <c r="C6" s="367">
        <f t="shared" si="0"/>
        <v>1811.665</v>
      </c>
      <c r="D6" s="367">
        <f t="shared" si="1"/>
        <v>1972.7149999999999</v>
      </c>
    </row>
    <row r="7" spans="1:11">
      <c r="A7" s="363" t="s">
        <v>2086</v>
      </c>
      <c r="B7" s="364">
        <v>1862.356</v>
      </c>
      <c r="C7" s="367">
        <f t="shared" si="0"/>
        <v>1974.9639999999999</v>
      </c>
      <c r="D7" s="367">
        <f t="shared" si="1"/>
        <v>1811.665</v>
      </c>
    </row>
    <row r="8" spans="1:11">
      <c r="A8" s="363" t="s">
        <v>2087</v>
      </c>
      <c r="B8" s="364">
        <v>1939.86</v>
      </c>
      <c r="C8" s="367">
        <f t="shared" si="0"/>
        <v>1862.356</v>
      </c>
      <c r="D8" s="367">
        <f t="shared" si="1"/>
        <v>1974.9639999999999</v>
      </c>
    </row>
    <row r="9" spans="1:11">
      <c r="A9" s="363" t="s">
        <v>2088</v>
      </c>
      <c r="B9" s="364">
        <v>2013.2639999999999</v>
      </c>
      <c r="C9" s="367">
        <f t="shared" si="0"/>
        <v>1939.86</v>
      </c>
      <c r="D9" s="367">
        <f t="shared" si="1"/>
        <v>1862.356</v>
      </c>
    </row>
    <row r="10" spans="1:11">
      <c r="A10" s="363" t="s">
        <v>2089</v>
      </c>
      <c r="B10" s="364">
        <v>1595.6569999999999</v>
      </c>
      <c r="C10" s="367">
        <f t="shared" si="0"/>
        <v>2013.2639999999999</v>
      </c>
      <c r="D10" s="367">
        <f t="shared" si="1"/>
        <v>1939.86</v>
      </c>
    </row>
    <row r="11" spans="1:11">
      <c r="A11" s="363" t="s">
        <v>2090</v>
      </c>
      <c r="B11" s="364">
        <v>1724.924</v>
      </c>
      <c r="C11" s="367">
        <f t="shared" si="0"/>
        <v>1595.6569999999999</v>
      </c>
      <c r="D11" s="367">
        <f t="shared" si="1"/>
        <v>2013.2639999999999</v>
      </c>
    </row>
    <row r="12" spans="1:11">
      <c r="A12" s="363" t="s">
        <v>2091</v>
      </c>
      <c r="B12" s="364">
        <v>1675.6669999999999</v>
      </c>
      <c r="C12" s="367">
        <f t="shared" si="0"/>
        <v>1724.924</v>
      </c>
      <c r="D12" s="367">
        <f t="shared" si="1"/>
        <v>1595.6569999999999</v>
      </c>
    </row>
    <row r="13" spans="1:11">
      <c r="A13" s="363" t="s">
        <v>2092</v>
      </c>
      <c r="B13" s="364">
        <v>1813.8630000000001</v>
      </c>
      <c r="C13" s="367">
        <f t="shared" si="0"/>
        <v>1675.6669999999999</v>
      </c>
      <c r="D13" s="367">
        <f t="shared" si="1"/>
        <v>1724.924</v>
      </c>
    </row>
    <row r="14" spans="1:11">
      <c r="A14" s="363" t="s">
        <v>2093</v>
      </c>
      <c r="B14" s="364">
        <v>1614.827</v>
      </c>
      <c r="C14" s="367">
        <f t="shared" si="0"/>
        <v>1813.8630000000001</v>
      </c>
      <c r="D14" s="367">
        <f t="shared" si="1"/>
        <v>1675.6669999999999</v>
      </c>
    </row>
    <row r="15" spans="1:11">
      <c r="A15" s="363" t="s">
        <v>2094</v>
      </c>
      <c r="B15" s="364">
        <v>1557.088</v>
      </c>
      <c r="C15" s="367">
        <f t="shared" si="0"/>
        <v>1614.827</v>
      </c>
      <c r="D15" s="367">
        <f t="shared" si="1"/>
        <v>1813.8630000000001</v>
      </c>
    </row>
    <row r="16" spans="1:11">
      <c r="A16" s="363" t="s">
        <v>2095</v>
      </c>
      <c r="B16" s="364">
        <v>1891.223</v>
      </c>
      <c r="C16" s="367">
        <f t="shared" si="0"/>
        <v>1557.088</v>
      </c>
      <c r="D16" s="367">
        <f t="shared" si="1"/>
        <v>1614.827</v>
      </c>
    </row>
    <row r="17" spans="1:4">
      <c r="A17" s="363" t="s">
        <v>2096</v>
      </c>
      <c r="B17" s="364">
        <v>1955.981</v>
      </c>
      <c r="C17" s="367">
        <f t="shared" si="0"/>
        <v>1891.223</v>
      </c>
      <c r="D17" s="367">
        <f t="shared" si="1"/>
        <v>1557.088</v>
      </c>
    </row>
    <row r="18" spans="1:4">
      <c r="A18" s="363" t="s">
        <v>2097</v>
      </c>
      <c r="B18" s="364">
        <v>1884.7139999999999</v>
      </c>
      <c r="C18" s="367">
        <f t="shared" si="0"/>
        <v>1955.981</v>
      </c>
      <c r="D18" s="367">
        <f t="shared" si="1"/>
        <v>1891.223</v>
      </c>
    </row>
    <row r="19" spans="1:4">
      <c r="A19" s="363" t="s">
        <v>2098</v>
      </c>
      <c r="B19" s="364">
        <v>1623.0419999999999</v>
      </c>
      <c r="C19" s="367">
        <f t="shared" si="0"/>
        <v>1884.7139999999999</v>
      </c>
      <c r="D19" s="367">
        <f t="shared" si="1"/>
        <v>1955.981</v>
      </c>
    </row>
    <row r="20" spans="1:4">
      <c r="A20" s="363" t="s">
        <v>2099</v>
      </c>
      <c r="B20" s="364">
        <v>1903.309</v>
      </c>
      <c r="C20" s="367">
        <f t="shared" si="0"/>
        <v>1623.0419999999999</v>
      </c>
      <c r="D20" s="367">
        <f t="shared" si="1"/>
        <v>1884.7139999999999</v>
      </c>
    </row>
    <row r="21" spans="1:4">
      <c r="A21" s="363" t="s">
        <v>2100</v>
      </c>
      <c r="B21" s="364">
        <v>1996.712</v>
      </c>
      <c r="C21" s="367">
        <f t="shared" si="0"/>
        <v>1903.309</v>
      </c>
      <c r="D21" s="367">
        <f t="shared" si="1"/>
        <v>1623.0419999999999</v>
      </c>
    </row>
    <row r="22" spans="1:4">
      <c r="A22" s="363" t="s">
        <v>2101</v>
      </c>
      <c r="B22" s="364">
        <v>1703.8969999999999</v>
      </c>
      <c r="C22" s="367">
        <f t="shared" si="0"/>
        <v>1996.712</v>
      </c>
      <c r="D22" s="367">
        <f t="shared" si="1"/>
        <v>1903.309</v>
      </c>
    </row>
    <row r="23" spans="1:4">
      <c r="A23" s="363" t="s">
        <v>2102</v>
      </c>
      <c r="B23" s="364">
        <v>1810</v>
      </c>
      <c r="C23" s="367">
        <f t="shared" si="0"/>
        <v>1703.8969999999999</v>
      </c>
      <c r="D23" s="367">
        <f t="shared" si="1"/>
        <v>1996.712</v>
      </c>
    </row>
    <row r="24" spans="1:4">
      <c r="A24" s="363" t="s">
        <v>2103</v>
      </c>
      <c r="B24" s="364">
        <v>1861.6010000000001</v>
      </c>
      <c r="C24" s="367">
        <f t="shared" si="0"/>
        <v>1810</v>
      </c>
      <c r="D24" s="367">
        <f t="shared" si="1"/>
        <v>1703.8969999999999</v>
      </c>
    </row>
    <row r="25" spans="1:4">
      <c r="A25" s="363" t="s">
        <v>2104</v>
      </c>
      <c r="B25" s="364">
        <v>1875.1220000000001</v>
      </c>
      <c r="C25" s="367">
        <f t="shared" si="0"/>
        <v>1861.6010000000001</v>
      </c>
      <c r="D25" s="367">
        <f t="shared" si="1"/>
        <v>1810</v>
      </c>
    </row>
    <row r="26" spans="1:4">
      <c r="A26" s="363" t="s">
        <v>2105</v>
      </c>
      <c r="B26" s="364">
        <v>1705.259</v>
      </c>
      <c r="C26" s="367">
        <f t="shared" si="0"/>
        <v>1875.1220000000001</v>
      </c>
      <c r="D26" s="367">
        <f t="shared" si="1"/>
        <v>1861.6010000000001</v>
      </c>
    </row>
    <row r="27" spans="1:4">
      <c r="A27" s="84" t="s">
        <v>2106</v>
      </c>
      <c r="B27" s="366">
        <v>1618.5350000000001</v>
      </c>
      <c r="C27" s="367">
        <f t="shared" si="0"/>
        <v>1705.259</v>
      </c>
      <c r="D27" s="367">
        <f t="shared" si="1"/>
        <v>1875.1220000000001</v>
      </c>
    </row>
    <row r="28" spans="1:4">
      <c r="A28" s="84" t="s">
        <v>2107</v>
      </c>
      <c r="B28" s="366">
        <v>1836.7090000000001</v>
      </c>
      <c r="C28" s="367">
        <f t="shared" si="0"/>
        <v>1618.5350000000001</v>
      </c>
      <c r="D28" s="367">
        <f t="shared" si="1"/>
        <v>1705.259</v>
      </c>
    </row>
    <row r="29" spans="1:4">
      <c r="A29" s="84" t="s">
        <v>2108</v>
      </c>
      <c r="B29" s="366">
        <v>1957.0429999999999</v>
      </c>
      <c r="C29" s="367">
        <f t="shared" si="0"/>
        <v>1836.7090000000001</v>
      </c>
      <c r="D29" s="367">
        <f t="shared" si="1"/>
        <v>1618.5350000000001</v>
      </c>
    </row>
    <row r="30" spans="1:4">
      <c r="A30" s="84" t="s">
        <v>2109</v>
      </c>
      <c r="B30" s="366">
        <v>1917.1849999999999</v>
      </c>
      <c r="C30" s="367">
        <f t="shared" si="0"/>
        <v>1957.0429999999999</v>
      </c>
      <c r="D30" s="367">
        <f t="shared" si="1"/>
        <v>1836.7090000000001</v>
      </c>
    </row>
    <row r="31" spans="1:4">
      <c r="A31" s="84" t="s">
        <v>2110</v>
      </c>
      <c r="B31" s="366">
        <v>1882.3979999999999</v>
      </c>
      <c r="C31" s="367">
        <f t="shared" si="0"/>
        <v>1917.1849999999999</v>
      </c>
      <c r="D31" s="367">
        <f t="shared" si="1"/>
        <v>1957.0429999999999</v>
      </c>
    </row>
    <row r="32" spans="1:4">
      <c r="A32" s="84" t="s">
        <v>2111</v>
      </c>
      <c r="B32" s="366">
        <v>1933.009</v>
      </c>
      <c r="C32" s="367">
        <f t="shared" si="0"/>
        <v>1882.3979999999999</v>
      </c>
      <c r="D32" s="367">
        <f t="shared" si="1"/>
        <v>1917.1849999999999</v>
      </c>
    </row>
    <row r="33" spans="1:4">
      <c r="A33" s="84" t="s">
        <v>2112</v>
      </c>
      <c r="B33" s="366">
        <v>1996.1669999999999</v>
      </c>
      <c r="C33" s="367">
        <f t="shared" si="0"/>
        <v>1933.009</v>
      </c>
      <c r="D33" s="367">
        <f t="shared" si="1"/>
        <v>1882.3979999999999</v>
      </c>
    </row>
    <row r="34" spans="1:4">
      <c r="A34" s="84" t="s">
        <v>2113</v>
      </c>
      <c r="B34" s="366">
        <v>1672.8409999999999</v>
      </c>
      <c r="C34" s="367">
        <f t="shared" si="0"/>
        <v>1996.1669999999999</v>
      </c>
      <c r="D34" s="367">
        <f t="shared" si="1"/>
        <v>1933.009</v>
      </c>
    </row>
    <row r="35" spans="1:4">
      <c r="A35" s="84" t="s">
        <v>2114</v>
      </c>
      <c r="B35" s="366">
        <v>1752.827</v>
      </c>
      <c r="C35" s="367">
        <f t="shared" si="0"/>
        <v>1672.8409999999999</v>
      </c>
      <c r="D35" s="367">
        <f t="shared" si="1"/>
        <v>1996.1669999999999</v>
      </c>
    </row>
    <row r="36" spans="1:4">
      <c r="A36" s="84" t="s">
        <v>2115</v>
      </c>
      <c r="B36" s="366">
        <v>1720.377</v>
      </c>
      <c r="C36" s="367">
        <f t="shared" si="0"/>
        <v>1752.827</v>
      </c>
      <c r="D36" s="367">
        <f t="shared" si="1"/>
        <v>1672.8409999999999</v>
      </c>
    </row>
    <row r="37" spans="1:4">
      <c r="A37" s="84" t="s">
        <v>2116</v>
      </c>
      <c r="B37" s="366">
        <v>1734.2919999999999</v>
      </c>
      <c r="C37" s="367">
        <f t="shared" si="0"/>
        <v>1720.377</v>
      </c>
      <c r="D37" s="367">
        <f t="shared" si="1"/>
        <v>1752.827</v>
      </c>
    </row>
    <row r="38" spans="1:4">
      <c r="A38" s="84" t="s">
        <v>2117</v>
      </c>
      <c r="B38" s="366">
        <v>1563.365</v>
      </c>
      <c r="C38" s="367">
        <f t="shared" si="0"/>
        <v>1734.2919999999999</v>
      </c>
      <c r="D38" s="367">
        <f t="shared" si="1"/>
        <v>1720.377</v>
      </c>
    </row>
    <row r="39" spans="1:4">
      <c r="A39" s="84" t="s">
        <v>2118</v>
      </c>
      <c r="B39" s="366">
        <v>1573.9590000000001</v>
      </c>
      <c r="C39" s="367">
        <f t="shared" si="0"/>
        <v>1563.365</v>
      </c>
      <c r="D39" s="367">
        <f t="shared" si="1"/>
        <v>1734.2919999999999</v>
      </c>
    </row>
    <row r="40" spans="1:4">
      <c r="A40" s="84" t="s">
        <v>2119</v>
      </c>
      <c r="B40" s="366">
        <v>1902.6389999999999</v>
      </c>
      <c r="C40" s="367">
        <f t="shared" si="0"/>
        <v>1573.9590000000001</v>
      </c>
      <c r="D40" s="367">
        <f t="shared" si="1"/>
        <v>1563.365</v>
      </c>
    </row>
    <row r="41" spans="1:4">
      <c r="A41" s="84" t="s">
        <v>2120</v>
      </c>
      <c r="B41" s="366">
        <v>1833.8879999999999</v>
      </c>
      <c r="C41" s="367">
        <f t="shared" si="0"/>
        <v>1902.6389999999999</v>
      </c>
      <c r="D41" s="367">
        <f t="shared" si="1"/>
        <v>1573.9590000000001</v>
      </c>
    </row>
    <row r="42" spans="1:4">
      <c r="A42" s="84" t="s">
        <v>2121</v>
      </c>
      <c r="B42" s="366">
        <v>1831.049</v>
      </c>
      <c r="C42" s="367">
        <f t="shared" si="0"/>
        <v>1833.8879999999999</v>
      </c>
      <c r="D42" s="367">
        <f t="shared" si="1"/>
        <v>1902.6389999999999</v>
      </c>
    </row>
    <row r="43" spans="1:4">
      <c r="A43" s="84" t="s">
        <v>2122</v>
      </c>
      <c r="B43" s="366">
        <v>1775.7550000000001</v>
      </c>
      <c r="C43" s="367">
        <f t="shared" si="0"/>
        <v>1831.049</v>
      </c>
      <c r="D43" s="367">
        <f t="shared" si="1"/>
        <v>1833.8879999999999</v>
      </c>
    </row>
    <row r="44" spans="1:4">
      <c r="A44" s="84" t="s">
        <v>2123</v>
      </c>
      <c r="B44" s="366">
        <v>1867.508</v>
      </c>
      <c r="C44" s="367">
        <f t="shared" si="0"/>
        <v>1775.7550000000001</v>
      </c>
      <c r="D44" s="367">
        <f t="shared" si="1"/>
        <v>1831.049</v>
      </c>
    </row>
    <row r="45" spans="1:4">
      <c r="A45" s="84" t="s">
        <v>2124</v>
      </c>
      <c r="B45" s="366">
        <v>1906.6079999999999</v>
      </c>
      <c r="C45" s="367">
        <f t="shared" si="0"/>
        <v>1867.508</v>
      </c>
      <c r="D45" s="367">
        <f t="shared" si="1"/>
        <v>1775.7550000000001</v>
      </c>
    </row>
    <row r="46" spans="1:4">
      <c r="A46" s="84" t="s">
        <v>2125</v>
      </c>
      <c r="B46" s="366">
        <v>1685.6320000000001</v>
      </c>
      <c r="C46" s="367">
        <f t="shared" si="0"/>
        <v>1906.6079999999999</v>
      </c>
      <c r="D46" s="367">
        <f t="shared" si="1"/>
        <v>1867.508</v>
      </c>
    </row>
    <row r="47" spans="1:4">
      <c r="A47" s="84" t="s">
        <v>2126</v>
      </c>
      <c r="B47" s="366">
        <v>1778.546</v>
      </c>
      <c r="C47" s="367">
        <f t="shared" si="0"/>
        <v>1685.6320000000001</v>
      </c>
      <c r="D47" s="367">
        <f t="shared" si="1"/>
        <v>1906.6079999999999</v>
      </c>
    </row>
    <row r="48" spans="1:4">
      <c r="A48" s="84" t="s">
        <v>2127</v>
      </c>
      <c r="B48" s="366">
        <v>1775.9949999999999</v>
      </c>
      <c r="C48" s="367">
        <f t="shared" si="0"/>
        <v>1778.546</v>
      </c>
      <c r="D48" s="367">
        <f t="shared" si="1"/>
        <v>1685.6320000000001</v>
      </c>
    </row>
    <row r="49" spans="1:4">
      <c r="A49" s="84" t="s">
        <v>2128</v>
      </c>
      <c r="B49" s="366">
        <v>1783.35</v>
      </c>
      <c r="C49" s="367">
        <f t="shared" si="0"/>
        <v>1775.9949999999999</v>
      </c>
      <c r="D49" s="367">
        <f t="shared" si="1"/>
        <v>1778.546</v>
      </c>
    </row>
    <row r="50" spans="1:4">
      <c r="A50" s="84" t="s">
        <v>2129</v>
      </c>
      <c r="B50" s="366">
        <v>1548.415</v>
      </c>
      <c r="C50" s="367">
        <f t="shared" si="0"/>
        <v>1783.35</v>
      </c>
      <c r="D50" s="367">
        <f t="shared" si="1"/>
        <v>1775.9949999999999</v>
      </c>
    </row>
    <row r="51" spans="1:4">
      <c r="A51" s="84" t="s">
        <v>2130</v>
      </c>
      <c r="B51" s="366">
        <v>1496.925</v>
      </c>
      <c r="C51" s="367">
        <f t="shared" si="0"/>
        <v>1548.415</v>
      </c>
      <c r="D51" s="367">
        <f t="shared" si="1"/>
        <v>1783.35</v>
      </c>
    </row>
    <row r="52" spans="1:4">
      <c r="A52" s="84" t="s">
        <v>2131</v>
      </c>
      <c r="B52" s="366">
        <v>1798.316</v>
      </c>
      <c r="C52" s="367">
        <f t="shared" si="0"/>
        <v>1496.925</v>
      </c>
      <c r="D52" s="367">
        <f t="shared" si="1"/>
        <v>1548.415</v>
      </c>
    </row>
    <row r="53" spans="1:4">
      <c r="A53" s="84" t="s">
        <v>2132</v>
      </c>
      <c r="B53" s="366">
        <v>1732.895</v>
      </c>
      <c r="C53" s="367">
        <f t="shared" si="0"/>
        <v>1798.316</v>
      </c>
      <c r="D53" s="367">
        <f t="shared" si="1"/>
        <v>1496.925</v>
      </c>
    </row>
    <row r="54" spans="1:4">
      <c r="A54" s="84" t="s">
        <v>2133</v>
      </c>
      <c r="B54" s="366">
        <v>1772.345</v>
      </c>
      <c r="C54" s="367">
        <f t="shared" si="0"/>
        <v>1732.895</v>
      </c>
      <c r="D54" s="367">
        <f t="shared" si="1"/>
        <v>1798.316</v>
      </c>
    </row>
    <row r="55" spans="1:4">
      <c r="A55" s="84" t="s">
        <v>2134</v>
      </c>
      <c r="B55" s="366">
        <v>1761.2070000000001</v>
      </c>
      <c r="C55" s="367">
        <f t="shared" si="0"/>
        <v>1772.345</v>
      </c>
      <c r="D55" s="367">
        <f t="shared" si="1"/>
        <v>1732.895</v>
      </c>
    </row>
    <row r="56" spans="1:4">
      <c r="A56" s="84" t="s">
        <v>2135</v>
      </c>
      <c r="B56" s="366">
        <v>1791.655</v>
      </c>
      <c r="C56" s="367">
        <f t="shared" si="0"/>
        <v>1761.2070000000001</v>
      </c>
      <c r="D56" s="367">
        <f t="shared" si="1"/>
        <v>1772.345</v>
      </c>
    </row>
    <row r="57" spans="1:4">
      <c r="A57" s="84" t="s">
        <v>2136</v>
      </c>
      <c r="B57" s="366">
        <v>1874.82</v>
      </c>
      <c r="C57" s="367">
        <f t="shared" si="0"/>
        <v>1791.655</v>
      </c>
      <c r="D57" s="367">
        <f t="shared" si="1"/>
        <v>1761.2070000000001</v>
      </c>
    </row>
    <row r="58" spans="1:4">
      <c r="A58" s="84" t="s">
        <v>2137</v>
      </c>
      <c r="B58" s="366">
        <v>1571.309</v>
      </c>
      <c r="C58" s="367">
        <f t="shared" si="0"/>
        <v>1874.82</v>
      </c>
      <c r="D58" s="367">
        <f t="shared" si="1"/>
        <v>1791.655</v>
      </c>
    </row>
    <row r="59" spans="1:4">
      <c r="A59" s="84" t="s">
        <v>2138</v>
      </c>
      <c r="B59" s="366">
        <v>1646.9480000000001</v>
      </c>
      <c r="C59" s="367">
        <f t="shared" si="0"/>
        <v>1571.309</v>
      </c>
      <c r="D59" s="367">
        <f t="shared" si="1"/>
        <v>1874.82</v>
      </c>
    </row>
    <row r="60" spans="1:4">
      <c r="A60" s="84" t="s">
        <v>2139</v>
      </c>
      <c r="B60" s="366">
        <v>1672.6310000000001</v>
      </c>
      <c r="C60" s="367">
        <f t="shared" si="0"/>
        <v>1646.9480000000001</v>
      </c>
      <c r="D60" s="367">
        <f t="shared" si="1"/>
        <v>1571.309</v>
      </c>
    </row>
    <row r="61" spans="1:4">
      <c r="A61" s="84" t="s">
        <v>2140</v>
      </c>
      <c r="B61" s="366">
        <v>1656.845</v>
      </c>
      <c r="C61" s="367">
        <f t="shared" si="0"/>
        <v>1672.6310000000001</v>
      </c>
      <c r="D61" s="367">
        <f t="shared" si="1"/>
        <v>1646.9480000000001</v>
      </c>
    </row>
    <row r="62" spans="1:4">
      <c r="A62" s="84" t="s">
        <v>2141</v>
      </c>
      <c r="B62" s="366">
        <v>1381.758</v>
      </c>
      <c r="C62" s="367">
        <f t="shared" si="0"/>
        <v>1656.845</v>
      </c>
      <c r="D62" s="367">
        <f t="shared" si="1"/>
        <v>1672.6310000000001</v>
      </c>
    </row>
    <row r="63" spans="1:4">
      <c r="A63" s="84" t="s">
        <v>2142</v>
      </c>
      <c r="B63" s="366">
        <v>1360.8520000000001</v>
      </c>
      <c r="C63" s="367">
        <f t="shared" si="0"/>
        <v>1381.758</v>
      </c>
      <c r="D63" s="367">
        <f t="shared" si="1"/>
        <v>1656.845</v>
      </c>
    </row>
    <row r="64" spans="1:4">
      <c r="A64" s="84" t="s">
        <v>2143</v>
      </c>
      <c r="B64" s="366">
        <v>1558.575</v>
      </c>
      <c r="C64" s="367">
        <f t="shared" si="0"/>
        <v>1360.8520000000001</v>
      </c>
      <c r="D64" s="367">
        <f t="shared" si="1"/>
        <v>1381.758</v>
      </c>
    </row>
    <row r="65" spans="1:4">
      <c r="A65" s="84" t="s">
        <v>2144</v>
      </c>
      <c r="B65" s="366">
        <v>1608.42</v>
      </c>
      <c r="C65" s="367">
        <f t="shared" si="0"/>
        <v>1558.575</v>
      </c>
      <c r="D65" s="367">
        <f t="shared" si="1"/>
        <v>1360.8520000000001</v>
      </c>
    </row>
    <row r="66" spans="1:4">
      <c r="A66" s="84" t="s">
        <v>2145</v>
      </c>
      <c r="B66" s="366">
        <v>1696.6959999999999</v>
      </c>
      <c r="C66" s="367">
        <f t="shared" si="0"/>
        <v>1608.42</v>
      </c>
      <c r="D66" s="367">
        <f t="shared" si="1"/>
        <v>1558.575</v>
      </c>
    </row>
    <row r="67" spans="1:4">
      <c r="A67" s="84" t="s">
        <v>2146</v>
      </c>
      <c r="B67" s="366">
        <v>1693.183</v>
      </c>
      <c r="C67" s="367">
        <f t="shared" si="0"/>
        <v>1696.6959999999999</v>
      </c>
      <c r="D67" s="367">
        <f t="shared" si="1"/>
        <v>1608.42</v>
      </c>
    </row>
    <row r="68" spans="1:4">
      <c r="A68" s="84" t="s">
        <v>2147</v>
      </c>
      <c r="B68" s="366">
        <v>1835.5160000000001</v>
      </c>
      <c r="C68" s="367">
        <f t="shared" ref="C68:C131" si="2">B67</f>
        <v>1693.183</v>
      </c>
      <c r="D68" s="367">
        <f t="shared" si="1"/>
        <v>1696.6959999999999</v>
      </c>
    </row>
    <row r="69" spans="1:4">
      <c r="A69" s="84" t="s">
        <v>2148</v>
      </c>
      <c r="B69" s="366">
        <v>1942.5730000000001</v>
      </c>
      <c r="C69" s="367">
        <f t="shared" si="2"/>
        <v>1835.5160000000001</v>
      </c>
      <c r="D69" s="367">
        <f t="shared" ref="D69:D132" si="3">B67</f>
        <v>1693.183</v>
      </c>
    </row>
    <row r="70" spans="1:4">
      <c r="A70" s="84" t="s">
        <v>2149</v>
      </c>
      <c r="B70" s="366">
        <v>1551.4010000000001</v>
      </c>
      <c r="C70" s="367">
        <f t="shared" si="2"/>
        <v>1942.5730000000001</v>
      </c>
      <c r="D70" s="367">
        <f t="shared" si="3"/>
        <v>1835.5160000000001</v>
      </c>
    </row>
    <row r="71" spans="1:4">
      <c r="A71" s="84" t="s">
        <v>2150</v>
      </c>
      <c r="B71" s="366">
        <v>1686.508</v>
      </c>
      <c r="C71" s="367">
        <f t="shared" si="2"/>
        <v>1551.4010000000001</v>
      </c>
      <c r="D71" s="367">
        <f t="shared" si="3"/>
        <v>1942.5730000000001</v>
      </c>
    </row>
    <row r="72" spans="1:4">
      <c r="A72" s="84" t="s">
        <v>2151</v>
      </c>
      <c r="B72" s="366">
        <v>1576.204</v>
      </c>
      <c r="C72" s="367">
        <f t="shared" si="2"/>
        <v>1686.508</v>
      </c>
      <c r="D72" s="367">
        <f t="shared" si="3"/>
        <v>1551.4010000000001</v>
      </c>
    </row>
    <row r="73" spans="1:4">
      <c r="A73" s="84" t="s">
        <v>2152</v>
      </c>
      <c r="B73" s="366">
        <v>1700.433</v>
      </c>
      <c r="C73" s="367">
        <f t="shared" si="2"/>
        <v>1576.204</v>
      </c>
      <c r="D73" s="367">
        <f t="shared" si="3"/>
        <v>1686.508</v>
      </c>
    </row>
    <row r="74" spans="1:4">
      <c r="A74" s="84" t="s">
        <v>2153</v>
      </c>
      <c r="B74" s="366">
        <v>1396.588</v>
      </c>
      <c r="C74" s="367">
        <f t="shared" si="2"/>
        <v>1700.433</v>
      </c>
      <c r="D74" s="367">
        <f t="shared" si="3"/>
        <v>1576.204</v>
      </c>
    </row>
    <row r="75" spans="1:4">
      <c r="A75" s="84" t="s">
        <v>2154</v>
      </c>
      <c r="B75" s="366">
        <v>1371.69</v>
      </c>
      <c r="C75" s="367">
        <f t="shared" si="2"/>
        <v>1396.588</v>
      </c>
      <c r="D75" s="367">
        <f t="shared" si="3"/>
        <v>1700.433</v>
      </c>
    </row>
    <row r="76" spans="1:4">
      <c r="A76" s="84" t="s">
        <v>2155</v>
      </c>
      <c r="B76" s="366">
        <v>1707.5219999999999</v>
      </c>
      <c r="C76" s="367">
        <f t="shared" si="2"/>
        <v>1371.69</v>
      </c>
      <c r="D76" s="367">
        <f t="shared" si="3"/>
        <v>1396.588</v>
      </c>
    </row>
    <row r="77" spans="1:4">
      <c r="A77" s="84" t="s">
        <v>2156</v>
      </c>
      <c r="B77" s="366">
        <v>1654.604</v>
      </c>
      <c r="C77" s="367">
        <f t="shared" si="2"/>
        <v>1707.5219999999999</v>
      </c>
      <c r="D77" s="367">
        <f t="shared" si="3"/>
        <v>1371.69</v>
      </c>
    </row>
    <row r="78" spans="1:4">
      <c r="A78" s="84" t="s">
        <v>2157</v>
      </c>
      <c r="B78" s="366">
        <v>1762.903</v>
      </c>
      <c r="C78" s="367">
        <f t="shared" si="2"/>
        <v>1654.604</v>
      </c>
      <c r="D78" s="367">
        <f t="shared" si="3"/>
        <v>1707.5219999999999</v>
      </c>
    </row>
    <row r="79" spans="1:4">
      <c r="A79" s="84" t="s">
        <v>2158</v>
      </c>
      <c r="B79" s="366">
        <v>1775.8</v>
      </c>
      <c r="C79" s="367">
        <f t="shared" si="2"/>
        <v>1762.903</v>
      </c>
      <c r="D79" s="367">
        <f t="shared" si="3"/>
        <v>1654.604</v>
      </c>
    </row>
    <row r="80" spans="1:4">
      <c r="A80" s="84" t="s">
        <v>2159</v>
      </c>
      <c r="B80" s="366">
        <v>1934.2190000000001</v>
      </c>
      <c r="C80" s="367">
        <f t="shared" si="2"/>
        <v>1775.8</v>
      </c>
      <c r="D80" s="367">
        <f t="shared" si="3"/>
        <v>1762.903</v>
      </c>
    </row>
    <row r="81" spans="1:4">
      <c r="A81" s="84" t="s">
        <v>2160</v>
      </c>
      <c r="B81" s="366">
        <v>2008.0550000000001</v>
      </c>
      <c r="C81" s="367">
        <f t="shared" si="2"/>
        <v>1934.2190000000001</v>
      </c>
      <c r="D81" s="367">
        <f t="shared" si="3"/>
        <v>1775.8</v>
      </c>
    </row>
    <row r="82" spans="1:4">
      <c r="A82" s="84" t="s">
        <v>2161</v>
      </c>
      <c r="B82" s="366">
        <v>1615.924</v>
      </c>
      <c r="C82" s="367">
        <f t="shared" si="2"/>
        <v>2008.0550000000001</v>
      </c>
      <c r="D82" s="367">
        <f t="shared" si="3"/>
        <v>1934.2190000000001</v>
      </c>
    </row>
    <row r="83" spans="1:4">
      <c r="A83" s="84" t="s">
        <v>2162</v>
      </c>
      <c r="B83" s="366">
        <v>1773.91</v>
      </c>
      <c r="C83" s="367">
        <f t="shared" si="2"/>
        <v>1615.924</v>
      </c>
      <c r="D83" s="367">
        <f t="shared" si="3"/>
        <v>2008.0550000000001</v>
      </c>
    </row>
    <row r="84" spans="1:4">
      <c r="A84" s="84" t="s">
        <v>2163</v>
      </c>
      <c r="B84" s="366">
        <v>1732.3679999999999</v>
      </c>
      <c r="C84" s="367">
        <f t="shared" si="2"/>
        <v>1773.91</v>
      </c>
      <c r="D84" s="367">
        <f t="shared" si="3"/>
        <v>1615.924</v>
      </c>
    </row>
    <row r="85" spans="1:4">
      <c r="A85" s="84" t="s">
        <v>2164</v>
      </c>
      <c r="B85" s="366">
        <v>1796.626</v>
      </c>
      <c r="C85" s="367">
        <f t="shared" si="2"/>
        <v>1732.3679999999999</v>
      </c>
      <c r="D85" s="367">
        <f t="shared" si="3"/>
        <v>1773.91</v>
      </c>
    </row>
    <row r="86" spans="1:4">
      <c r="A86" s="84" t="s">
        <v>2165</v>
      </c>
      <c r="B86" s="366">
        <v>1570.33</v>
      </c>
      <c r="C86" s="367">
        <f t="shared" si="2"/>
        <v>1796.626</v>
      </c>
      <c r="D86" s="367">
        <f t="shared" si="3"/>
        <v>1732.3679999999999</v>
      </c>
    </row>
    <row r="87" spans="1:4">
      <c r="A87" s="84" t="s">
        <v>2166</v>
      </c>
      <c r="B87" s="366">
        <v>1412.691</v>
      </c>
      <c r="C87" s="367">
        <f t="shared" si="2"/>
        <v>1570.33</v>
      </c>
      <c r="D87" s="367">
        <f t="shared" si="3"/>
        <v>1796.626</v>
      </c>
    </row>
    <row r="88" spans="1:4">
      <c r="A88" s="84" t="s">
        <v>2167</v>
      </c>
      <c r="B88" s="366">
        <v>1754.6410000000001</v>
      </c>
      <c r="C88" s="367">
        <f t="shared" si="2"/>
        <v>1412.691</v>
      </c>
      <c r="D88" s="367">
        <f t="shared" si="3"/>
        <v>1570.33</v>
      </c>
    </row>
    <row r="89" spans="1:4">
      <c r="A89" s="84" t="s">
        <v>2168</v>
      </c>
      <c r="B89" s="366">
        <v>1824.932</v>
      </c>
      <c r="C89" s="367">
        <f t="shared" si="2"/>
        <v>1754.6410000000001</v>
      </c>
      <c r="D89" s="367">
        <f t="shared" si="3"/>
        <v>1412.691</v>
      </c>
    </row>
    <row r="90" spans="1:4">
      <c r="A90" s="84" t="s">
        <v>2169</v>
      </c>
      <c r="B90" s="366">
        <v>1843.289</v>
      </c>
      <c r="C90" s="367">
        <f t="shared" si="2"/>
        <v>1824.932</v>
      </c>
      <c r="D90" s="367">
        <f t="shared" si="3"/>
        <v>1754.6410000000001</v>
      </c>
    </row>
    <row r="91" spans="1:4">
      <c r="A91" s="84" t="s">
        <v>2170</v>
      </c>
      <c r="B91" s="366">
        <v>1825.9639999999999</v>
      </c>
      <c r="C91" s="367">
        <f t="shared" si="2"/>
        <v>1843.289</v>
      </c>
      <c r="D91" s="367">
        <f t="shared" si="3"/>
        <v>1824.932</v>
      </c>
    </row>
    <row r="92" spans="1:4">
      <c r="A92" s="84" t="s">
        <v>2171</v>
      </c>
      <c r="B92" s="366">
        <v>1968.172</v>
      </c>
      <c r="C92" s="367">
        <f t="shared" si="2"/>
        <v>1825.9639999999999</v>
      </c>
      <c r="D92" s="367">
        <f t="shared" si="3"/>
        <v>1843.289</v>
      </c>
    </row>
    <row r="93" spans="1:4">
      <c r="A93" s="84" t="s">
        <v>2172</v>
      </c>
      <c r="B93" s="366">
        <v>1921.645</v>
      </c>
      <c r="C93" s="367">
        <f t="shared" si="2"/>
        <v>1968.172</v>
      </c>
      <c r="D93" s="367">
        <f t="shared" si="3"/>
        <v>1825.9639999999999</v>
      </c>
    </row>
    <row r="94" spans="1:4">
      <c r="A94" s="84" t="s">
        <v>2173</v>
      </c>
      <c r="B94" s="366">
        <v>1669.597</v>
      </c>
      <c r="C94" s="367">
        <f t="shared" si="2"/>
        <v>1921.645</v>
      </c>
      <c r="D94" s="367">
        <f t="shared" si="3"/>
        <v>1968.172</v>
      </c>
    </row>
    <row r="95" spans="1:4">
      <c r="A95" s="84" t="s">
        <v>2174</v>
      </c>
      <c r="B95" s="366">
        <v>1791.4739999999999</v>
      </c>
      <c r="C95" s="367">
        <f t="shared" si="2"/>
        <v>1669.597</v>
      </c>
      <c r="D95" s="367">
        <f t="shared" si="3"/>
        <v>1921.645</v>
      </c>
    </row>
    <row r="96" spans="1:4">
      <c r="A96" s="84" t="s">
        <v>2175</v>
      </c>
      <c r="B96" s="366">
        <v>1816.7139999999999</v>
      </c>
      <c r="C96" s="367">
        <f t="shared" si="2"/>
        <v>1791.4739999999999</v>
      </c>
      <c r="D96" s="367">
        <f t="shared" si="3"/>
        <v>1669.597</v>
      </c>
    </row>
    <row r="97" spans="1:4">
      <c r="A97" s="84" t="s">
        <v>2176</v>
      </c>
      <c r="B97" s="366">
        <v>1846.7539999999999</v>
      </c>
      <c r="C97" s="367">
        <f t="shared" si="2"/>
        <v>1816.7139999999999</v>
      </c>
      <c r="D97" s="367">
        <f t="shared" si="3"/>
        <v>1791.4739999999999</v>
      </c>
    </row>
    <row r="98" spans="1:4">
      <c r="A98" s="84" t="s">
        <v>2177</v>
      </c>
      <c r="B98" s="366">
        <v>1599.4269999999999</v>
      </c>
      <c r="C98" s="367">
        <f t="shared" si="2"/>
        <v>1846.7539999999999</v>
      </c>
      <c r="D98" s="367">
        <f t="shared" si="3"/>
        <v>1816.7139999999999</v>
      </c>
    </row>
    <row r="99" spans="1:4">
      <c r="A99" s="84" t="s">
        <v>2178</v>
      </c>
      <c r="B99" s="366">
        <v>1548.8040000000001</v>
      </c>
      <c r="C99" s="367">
        <f t="shared" si="2"/>
        <v>1599.4269999999999</v>
      </c>
      <c r="D99" s="367">
        <f t="shared" si="3"/>
        <v>1846.7539999999999</v>
      </c>
    </row>
    <row r="100" spans="1:4">
      <c r="A100" s="84" t="s">
        <v>2179</v>
      </c>
      <c r="B100" s="366">
        <v>1832.3330000000001</v>
      </c>
      <c r="C100" s="367">
        <f t="shared" si="2"/>
        <v>1548.8040000000001</v>
      </c>
      <c r="D100" s="367">
        <f t="shared" si="3"/>
        <v>1599.4269999999999</v>
      </c>
    </row>
    <row r="101" spans="1:4">
      <c r="A101" s="84" t="s">
        <v>2180</v>
      </c>
      <c r="B101" s="366">
        <v>1839.72</v>
      </c>
      <c r="C101" s="367">
        <f t="shared" si="2"/>
        <v>1832.3330000000001</v>
      </c>
      <c r="D101" s="367">
        <f t="shared" si="3"/>
        <v>1548.8040000000001</v>
      </c>
    </row>
    <row r="102" spans="1:4">
      <c r="A102" s="84" t="s">
        <v>2181</v>
      </c>
      <c r="B102" s="366">
        <v>1846.498</v>
      </c>
      <c r="C102" s="367">
        <f t="shared" si="2"/>
        <v>1839.72</v>
      </c>
      <c r="D102" s="367">
        <f t="shared" si="3"/>
        <v>1832.3330000000001</v>
      </c>
    </row>
    <row r="103" spans="1:4">
      <c r="A103" s="84" t="s">
        <v>2182</v>
      </c>
      <c r="B103" s="366">
        <v>1864.8520000000001</v>
      </c>
      <c r="C103" s="367">
        <f t="shared" si="2"/>
        <v>1846.498</v>
      </c>
      <c r="D103" s="367">
        <f t="shared" si="3"/>
        <v>1839.72</v>
      </c>
    </row>
    <row r="104" spans="1:4">
      <c r="A104" s="84" t="s">
        <v>2183</v>
      </c>
      <c r="B104" s="366">
        <v>1965.7429999999999</v>
      </c>
      <c r="C104" s="367">
        <f t="shared" si="2"/>
        <v>1864.8520000000001</v>
      </c>
      <c r="D104" s="367">
        <f t="shared" si="3"/>
        <v>1846.498</v>
      </c>
    </row>
    <row r="105" spans="1:4">
      <c r="A105" s="84" t="s">
        <v>2184</v>
      </c>
      <c r="B105" s="366">
        <v>1949.002</v>
      </c>
      <c r="C105" s="367">
        <f t="shared" si="2"/>
        <v>1965.7429999999999</v>
      </c>
      <c r="D105" s="367">
        <f t="shared" si="3"/>
        <v>1864.8520000000001</v>
      </c>
    </row>
    <row r="106" spans="1:4">
      <c r="A106" s="84" t="s">
        <v>2185</v>
      </c>
      <c r="B106" s="366">
        <v>1607.373</v>
      </c>
      <c r="C106" s="367">
        <f t="shared" si="2"/>
        <v>1949.002</v>
      </c>
      <c r="D106" s="367">
        <f t="shared" si="3"/>
        <v>1965.7429999999999</v>
      </c>
    </row>
    <row r="107" spans="1:4">
      <c r="A107" s="84" t="s">
        <v>2186</v>
      </c>
      <c r="B107" s="366">
        <v>1803.664</v>
      </c>
      <c r="C107" s="367">
        <f t="shared" si="2"/>
        <v>1607.373</v>
      </c>
      <c r="D107" s="367">
        <f t="shared" si="3"/>
        <v>1949.002</v>
      </c>
    </row>
    <row r="108" spans="1:4">
      <c r="A108" s="84" t="s">
        <v>2187</v>
      </c>
      <c r="B108" s="366">
        <v>1850.309</v>
      </c>
      <c r="C108" s="367">
        <f t="shared" si="2"/>
        <v>1803.664</v>
      </c>
      <c r="D108" s="367">
        <f t="shared" si="3"/>
        <v>1607.373</v>
      </c>
    </row>
    <row r="109" spans="1:4">
      <c r="A109" s="84" t="s">
        <v>2188</v>
      </c>
      <c r="B109" s="366">
        <v>1836.4349999999999</v>
      </c>
      <c r="C109" s="367">
        <f t="shared" si="2"/>
        <v>1850.309</v>
      </c>
      <c r="D109" s="367">
        <f t="shared" si="3"/>
        <v>1803.664</v>
      </c>
    </row>
    <row r="110" spans="1:4">
      <c r="A110" s="84" t="s">
        <v>2189</v>
      </c>
      <c r="B110" s="366">
        <v>1541.66</v>
      </c>
      <c r="C110" s="367">
        <f t="shared" si="2"/>
        <v>1836.4349999999999</v>
      </c>
      <c r="D110" s="367">
        <f t="shared" si="3"/>
        <v>1850.309</v>
      </c>
    </row>
    <row r="111" spans="1:4">
      <c r="A111" s="84" t="s">
        <v>2190</v>
      </c>
      <c r="B111" s="366">
        <v>1616.9280000000001</v>
      </c>
      <c r="C111" s="367">
        <f t="shared" si="2"/>
        <v>1541.66</v>
      </c>
      <c r="D111" s="367">
        <f t="shared" si="3"/>
        <v>1836.4349999999999</v>
      </c>
    </row>
    <row r="112" spans="1:4">
      <c r="A112" s="84" t="s">
        <v>2191</v>
      </c>
      <c r="B112" s="366">
        <v>1919.538</v>
      </c>
      <c r="C112" s="367">
        <f t="shared" si="2"/>
        <v>1616.9280000000001</v>
      </c>
      <c r="D112" s="367">
        <f t="shared" si="3"/>
        <v>1541.66</v>
      </c>
    </row>
    <row r="113" spans="1:4">
      <c r="A113" s="84" t="s">
        <v>2192</v>
      </c>
      <c r="B113" s="366">
        <v>1971.4929999999999</v>
      </c>
      <c r="C113" s="367">
        <f t="shared" si="2"/>
        <v>1919.538</v>
      </c>
      <c r="D113" s="367">
        <f t="shared" si="3"/>
        <v>1616.9280000000001</v>
      </c>
    </row>
    <row r="114" spans="1:4">
      <c r="A114" s="84" t="s">
        <v>2193</v>
      </c>
      <c r="B114" s="366">
        <v>1992.3009999999999</v>
      </c>
      <c r="C114" s="367">
        <f t="shared" si="2"/>
        <v>1971.4929999999999</v>
      </c>
      <c r="D114" s="367">
        <f t="shared" si="3"/>
        <v>1919.538</v>
      </c>
    </row>
    <row r="115" spans="1:4">
      <c r="A115" s="84" t="s">
        <v>2194</v>
      </c>
      <c r="B115" s="366">
        <v>2009.7629999999999</v>
      </c>
      <c r="C115" s="367">
        <f t="shared" si="2"/>
        <v>1992.3009999999999</v>
      </c>
      <c r="D115" s="367">
        <f t="shared" si="3"/>
        <v>1971.4929999999999</v>
      </c>
    </row>
    <row r="116" spans="1:4">
      <c r="A116" s="84" t="s">
        <v>2195</v>
      </c>
      <c r="B116" s="366">
        <v>2053.9960000000001</v>
      </c>
      <c r="C116" s="367">
        <f t="shared" si="2"/>
        <v>2009.7629999999999</v>
      </c>
      <c r="D116" s="367">
        <f t="shared" si="3"/>
        <v>1992.3009999999999</v>
      </c>
    </row>
    <row r="117" spans="1:4">
      <c r="A117" s="84" t="s">
        <v>2196</v>
      </c>
      <c r="B117" s="366">
        <v>2097.471</v>
      </c>
      <c r="C117" s="367">
        <f t="shared" si="2"/>
        <v>2053.9960000000001</v>
      </c>
      <c r="D117" s="367">
        <f t="shared" si="3"/>
        <v>2009.7629999999999</v>
      </c>
    </row>
    <row r="118" spans="1:4">
      <c r="A118" s="84" t="s">
        <v>2197</v>
      </c>
      <c r="B118" s="366">
        <v>1823.7059999999999</v>
      </c>
      <c r="C118" s="367">
        <f t="shared" si="2"/>
        <v>2097.471</v>
      </c>
      <c r="D118" s="367">
        <f t="shared" si="3"/>
        <v>2053.9960000000001</v>
      </c>
    </row>
    <row r="119" spans="1:4">
      <c r="A119" s="84" t="s">
        <v>2198</v>
      </c>
      <c r="B119" s="366">
        <v>1976.9970000000001</v>
      </c>
      <c r="C119" s="367">
        <f t="shared" si="2"/>
        <v>1823.7059999999999</v>
      </c>
      <c r="D119" s="367">
        <f t="shared" si="3"/>
        <v>2097.471</v>
      </c>
    </row>
    <row r="120" spans="1:4">
      <c r="A120" s="84" t="s">
        <v>2199</v>
      </c>
      <c r="B120" s="366">
        <v>1981.4079999999999</v>
      </c>
      <c r="C120" s="367">
        <f t="shared" si="2"/>
        <v>1976.9970000000001</v>
      </c>
      <c r="D120" s="367">
        <f t="shared" si="3"/>
        <v>1823.7059999999999</v>
      </c>
    </row>
    <row r="121" spans="1:4">
      <c r="A121" s="84" t="s">
        <v>2200</v>
      </c>
      <c r="B121" s="366">
        <v>2000.153</v>
      </c>
      <c r="C121" s="367">
        <f t="shared" si="2"/>
        <v>1981.4079999999999</v>
      </c>
      <c r="D121" s="367">
        <f t="shared" si="3"/>
        <v>1976.9970000000001</v>
      </c>
    </row>
    <row r="122" spans="1:4">
      <c r="A122" s="84" t="s">
        <v>2201</v>
      </c>
      <c r="B122" s="366">
        <v>1683.1479999999999</v>
      </c>
      <c r="C122" s="367">
        <f t="shared" si="2"/>
        <v>2000.153</v>
      </c>
      <c r="D122" s="367">
        <f t="shared" si="3"/>
        <v>1981.4079999999999</v>
      </c>
    </row>
    <row r="123" spans="1:4">
      <c r="A123" s="84" t="s">
        <v>2202</v>
      </c>
      <c r="B123" s="366">
        <v>1663.404</v>
      </c>
      <c r="C123" s="367">
        <f t="shared" si="2"/>
        <v>1683.1479999999999</v>
      </c>
      <c r="D123" s="367">
        <f t="shared" si="3"/>
        <v>2000.153</v>
      </c>
    </row>
    <row r="124" spans="1:4">
      <c r="A124" s="84" t="s">
        <v>2203</v>
      </c>
      <c r="B124" s="366">
        <v>2007.9280000000001</v>
      </c>
      <c r="C124" s="367">
        <f t="shared" si="2"/>
        <v>1663.404</v>
      </c>
      <c r="D124" s="367">
        <f t="shared" si="3"/>
        <v>1683.1479999999999</v>
      </c>
    </row>
    <row r="125" spans="1:4">
      <c r="A125" s="84" t="s">
        <v>2204</v>
      </c>
      <c r="B125" s="366">
        <v>2023.7919999999999</v>
      </c>
      <c r="C125" s="367">
        <f t="shared" si="2"/>
        <v>2007.9280000000001</v>
      </c>
      <c r="D125" s="367">
        <f t="shared" si="3"/>
        <v>1663.404</v>
      </c>
    </row>
    <row r="126" spans="1:4">
      <c r="A126" s="84" t="s">
        <v>2205</v>
      </c>
      <c r="B126" s="366">
        <v>2047.008</v>
      </c>
      <c r="C126" s="367">
        <f t="shared" si="2"/>
        <v>2023.7919999999999</v>
      </c>
      <c r="D126" s="367">
        <f t="shared" si="3"/>
        <v>2007.9280000000001</v>
      </c>
    </row>
    <row r="127" spans="1:4">
      <c r="A127" s="84" t="s">
        <v>2206</v>
      </c>
      <c r="B127" s="366">
        <v>2072.913</v>
      </c>
      <c r="C127" s="367">
        <f t="shared" si="2"/>
        <v>2047.008</v>
      </c>
      <c r="D127" s="367">
        <f t="shared" si="3"/>
        <v>2023.7919999999999</v>
      </c>
    </row>
    <row r="128" spans="1:4">
      <c r="A128" s="84" t="s">
        <v>2207</v>
      </c>
      <c r="B128" s="366">
        <v>2126.7170000000001</v>
      </c>
      <c r="C128" s="367">
        <f t="shared" si="2"/>
        <v>2072.913</v>
      </c>
      <c r="D128" s="367">
        <f t="shared" si="3"/>
        <v>2047.008</v>
      </c>
    </row>
    <row r="129" spans="1:4">
      <c r="A129" s="84" t="s">
        <v>2208</v>
      </c>
      <c r="B129" s="366">
        <v>2202.6379999999999</v>
      </c>
      <c r="C129" s="367">
        <f t="shared" si="2"/>
        <v>2126.7170000000001</v>
      </c>
      <c r="D129" s="367">
        <f t="shared" si="3"/>
        <v>2072.913</v>
      </c>
    </row>
    <row r="130" spans="1:4">
      <c r="A130" s="84" t="s">
        <v>2209</v>
      </c>
      <c r="B130" s="366">
        <v>1707.693</v>
      </c>
      <c r="C130" s="367">
        <f t="shared" si="2"/>
        <v>2202.6379999999999</v>
      </c>
      <c r="D130" s="367">
        <f t="shared" si="3"/>
        <v>2126.7170000000001</v>
      </c>
    </row>
    <row r="131" spans="1:4">
      <c r="A131" s="84" t="s">
        <v>2210</v>
      </c>
      <c r="B131" s="366">
        <v>1950.7159999999999</v>
      </c>
      <c r="C131" s="367">
        <f t="shared" si="2"/>
        <v>1707.693</v>
      </c>
      <c r="D131" s="367">
        <f t="shared" si="3"/>
        <v>2202.6379999999999</v>
      </c>
    </row>
    <row r="132" spans="1:4">
      <c r="A132" s="84" t="s">
        <v>2211</v>
      </c>
      <c r="B132" s="366">
        <v>1973.614</v>
      </c>
      <c r="C132" s="367">
        <f t="shared" ref="C132:C160" si="4">B131</f>
        <v>1950.7159999999999</v>
      </c>
      <c r="D132" s="367">
        <f t="shared" si="3"/>
        <v>1707.693</v>
      </c>
    </row>
    <row r="133" spans="1:4">
      <c r="A133" s="84" t="s">
        <v>2212</v>
      </c>
      <c r="B133" s="366">
        <v>1984.729</v>
      </c>
      <c r="C133" s="367">
        <f t="shared" si="4"/>
        <v>1973.614</v>
      </c>
      <c r="D133" s="367">
        <f t="shared" ref="D133:D160" si="5">B131</f>
        <v>1950.7159999999999</v>
      </c>
    </row>
    <row r="134" spans="1:4">
      <c r="A134" s="84" t="s">
        <v>2213</v>
      </c>
      <c r="B134" s="366">
        <v>1759.6289999999999</v>
      </c>
      <c r="C134" s="367">
        <f t="shared" si="4"/>
        <v>1984.729</v>
      </c>
      <c r="D134" s="367">
        <f t="shared" si="5"/>
        <v>1973.614</v>
      </c>
    </row>
    <row r="135" spans="1:4">
      <c r="A135" s="84" t="s">
        <v>2214</v>
      </c>
      <c r="B135" s="366">
        <v>1770.595</v>
      </c>
      <c r="C135" s="367">
        <f t="shared" si="4"/>
        <v>1759.6289999999999</v>
      </c>
      <c r="D135" s="367">
        <f t="shared" si="5"/>
        <v>1984.729</v>
      </c>
    </row>
    <row r="136" spans="1:4">
      <c r="A136" s="84" t="s">
        <v>2215</v>
      </c>
      <c r="B136" s="366">
        <v>2019.912</v>
      </c>
      <c r="C136" s="367">
        <f t="shared" si="4"/>
        <v>1770.595</v>
      </c>
      <c r="D136" s="367">
        <f t="shared" si="5"/>
        <v>1759.6289999999999</v>
      </c>
    </row>
    <row r="137" spans="1:4">
      <c r="A137" s="84" t="s">
        <v>2216</v>
      </c>
      <c r="B137" s="366">
        <v>2048.3980000000001</v>
      </c>
      <c r="C137" s="367">
        <f t="shared" si="4"/>
        <v>2019.912</v>
      </c>
      <c r="D137" s="367">
        <f t="shared" si="5"/>
        <v>1770.595</v>
      </c>
    </row>
    <row r="138" spans="1:4">
      <c r="A138" s="84" t="s">
        <v>2217</v>
      </c>
      <c r="B138" s="366">
        <v>2068.7629999999999</v>
      </c>
      <c r="C138" s="367">
        <f t="shared" si="4"/>
        <v>2048.3980000000001</v>
      </c>
      <c r="D138" s="367">
        <f t="shared" si="5"/>
        <v>2019.912</v>
      </c>
    </row>
    <row r="139" spans="1:4">
      <c r="A139" s="84" t="s">
        <v>2218</v>
      </c>
      <c r="B139" s="366">
        <v>1994.2670000000001</v>
      </c>
      <c r="C139" s="367">
        <f t="shared" si="4"/>
        <v>2068.7629999999999</v>
      </c>
      <c r="D139" s="367">
        <f t="shared" si="5"/>
        <v>2048.3980000000001</v>
      </c>
    </row>
    <row r="140" spans="1:4">
      <c r="A140" s="84" t="s">
        <v>2219</v>
      </c>
      <c r="B140" s="366">
        <v>2075.2579999999998</v>
      </c>
      <c r="C140" s="367">
        <f t="shared" si="4"/>
        <v>1994.2670000000001</v>
      </c>
      <c r="D140" s="367">
        <f t="shared" si="5"/>
        <v>2068.7629999999999</v>
      </c>
    </row>
    <row r="141" spans="1:4">
      <c r="A141" s="84" t="s">
        <v>2220</v>
      </c>
      <c r="B141" s="366">
        <v>2026.56</v>
      </c>
      <c r="C141" s="367">
        <f t="shared" si="4"/>
        <v>2075.2579999999998</v>
      </c>
      <c r="D141" s="367">
        <f t="shared" si="5"/>
        <v>1994.2670000000001</v>
      </c>
    </row>
    <row r="142" spans="1:4">
      <c r="A142" s="84" t="s">
        <v>2221</v>
      </c>
      <c r="B142" s="366">
        <v>1734.155</v>
      </c>
      <c r="C142" s="367">
        <f t="shared" si="4"/>
        <v>2026.56</v>
      </c>
      <c r="D142" s="367">
        <f t="shared" si="5"/>
        <v>2075.2579999999998</v>
      </c>
    </row>
    <row r="143" spans="1:4">
      <c r="A143" s="84" t="s">
        <v>2222</v>
      </c>
      <c r="B143" s="366">
        <v>1916.771</v>
      </c>
      <c r="C143" s="367">
        <f t="shared" si="4"/>
        <v>1734.155</v>
      </c>
      <c r="D143" s="367">
        <f t="shared" si="5"/>
        <v>2026.56</v>
      </c>
    </row>
    <row r="144" spans="1:4">
      <c r="A144" s="84" t="s">
        <v>2223</v>
      </c>
      <c r="B144" s="366">
        <v>1858.345</v>
      </c>
      <c r="C144" s="367">
        <f t="shared" si="4"/>
        <v>1916.771</v>
      </c>
      <c r="D144" s="367">
        <f t="shared" si="5"/>
        <v>1734.155</v>
      </c>
    </row>
    <row r="145" spans="1:4">
      <c r="A145" s="84" t="s">
        <v>2224</v>
      </c>
      <c r="B145" s="366">
        <v>1996.3520000000001</v>
      </c>
      <c r="C145" s="367">
        <f t="shared" si="4"/>
        <v>1858.345</v>
      </c>
      <c r="D145" s="367">
        <f t="shared" si="5"/>
        <v>1916.771</v>
      </c>
    </row>
    <row r="146" spans="1:4">
      <c r="A146" s="84" t="s">
        <v>2225</v>
      </c>
      <c r="B146" s="366">
        <v>1778.0329999999999</v>
      </c>
      <c r="C146" s="367">
        <f t="shared" si="4"/>
        <v>1996.3520000000001</v>
      </c>
      <c r="D146" s="367">
        <f t="shared" si="5"/>
        <v>1858.345</v>
      </c>
    </row>
    <row r="147" spans="1:4">
      <c r="A147" s="84" t="s">
        <v>2226</v>
      </c>
      <c r="B147" s="366">
        <v>1749.489</v>
      </c>
      <c r="C147" s="367">
        <f t="shared" si="4"/>
        <v>1778.0329999999999</v>
      </c>
      <c r="D147" s="367">
        <f t="shared" si="5"/>
        <v>1996.3520000000001</v>
      </c>
    </row>
    <row r="148" spans="1:4">
      <c r="A148" s="84" t="s">
        <v>2227</v>
      </c>
      <c r="B148" s="366">
        <v>2066.4659999999999</v>
      </c>
      <c r="C148" s="367">
        <f t="shared" si="4"/>
        <v>1749.489</v>
      </c>
      <c r="D148" s="367">
        <f t="shared" si="5"/>
        <v>1778.0329999999999</v>
      </c>
    </row>
    <row r="149" spans="1:4">
      <c r="A149" s="84" t="s">
        <v>2228</v>
      </c>
      <c r="B149" s="366">
        <v>2098.8989999999999</v>
      </c>
      <c r="C149" s="367">
        <f t="shared" si="4"/>
        <v>2066.4659999999999</v>
      </c>
      <c r="D149" s="367">
        <f t="shared" si="5"/>
        <v>1749.489</v>
      </c>
    </row>
    <row r="150" spans="1:4">
      <c r="A150" s="84" t="s">
        <v>2229</v>
      </c>
      <c r="B150" s="366">
        <v>2104.9110000000001</v>
      </c>
      <c r="C150" s="367">
        <f t="shared" si="4"/>
        <v>2098.8989999999999</v>
      </c>
      <c r="D150" s="367">
        <f t="shared" si="5"/>
        <v>2066.4659999999999</v>
      </c>
    </row>
    <row r="151" spans="1:4">
      <c r="A151" s="84" t="s">
        <v>2230</v>
      </c>
      <c r="B151" s="366">
        <v>2129.6709999999998</v>
      </c>
      <c r="C151" s="367">
        <f t="shared" si="4"/>
        <v>2104.9110000000001</v>
      </c>
      <c r="D151" s="367">
        <f t="shared" si="5"/>
        <v>2098.8989999999999</v>
      </c>
    </row>
    <row r="152" spans="1:4">
      <c r="A152" s="84" t="s">
        <v>2231</v>
      </c>
      <c r="B152" s="366">
        <v>2223.3490000000002</v>
      </c>
      <c r="C152" s="367">
        <f t="shared" si="4"/>
        <v>2129.6709999999998</v>
      </c>
      <c r="D152" s="367">
        <f t="shared" si="5"/>
        <v>2104.9110000000001</v>
      </c>
    </row>
    <row r="153" spans="1:4">
      <c r="A153" s="84" t="s">
        <v>2232</v>
      </c>
      <c r="B153" s="366">
        <v>2174.36</v>
      </c>
      <c r="C153" s="367">
        <f t="shared" si="4"/>
        <v>2223.3490000000002</v>
      </c>
      <c r="D153" s="367">
        <f t="shared" si="5"/>
        <v>2129.6709999999998</v>
      </c>
    </row>
    <row r="154" spans="1:4">
      <c r="A154" s="84" t="s">
        <v>2233</v>
      </c>
      <c r="B154" s="366">
        <v>1931.4059999999999</v>
      </c>
      <c r="C154" s="367">
        <f t="shared" si="4"/>
        <v>2174.36</v>
      </c>
      <c r="D154" s="367">
        <f t="shared" si="5"/>
        <v>2223.3490000000002</v>
      </c>
    </row>
    <row r="155" spans="1:4">
      <c r="A155" s="84" t="s">
        <v>2234</v>
      </c>
      <c r="B155" s="366">
        <v>2121.4699999999998</v>
      </c>
      <c r="C155" s="367">
        <f t="shared" si="4"/>
        <v>1931.4059999999999</v>
      </c>
      <c r="D155" s="367">
        <f t="shared" si="5"/>
        <v>2174.36</v>
      </c>
    </row>
    <row r="156" spans="1:4">
      <c r="A156" s="84" t="s">
        <v>2235</v>
      </c>
      <c r="B156" s="366">
        <v>2076.0540000000001</v>
      </c>
      <c r="C156" s="367">
        <f t="shared" si="4"/>
        <v>2121.4699999999998</v>
      </c>
      <c r="D156" s="367">
        <f t="shared" si="5"/>
        <v>1931.4059999999999</v>
      </c>
    </row>
    <row r="157" spans="1:4">
      <c r="A157" s="84" t="s">
        <v>2236</v>
      </c>
      <c r="B157" s="366">
        <v>2140.6770000000001</v>
      </c>
      <c r="C157" s="367">
        <f t="shared" si="4"/>
        <v>2076.0540000000001</v>
      </c>
      <c r="D157" s="367">
        <f t="shared" si="5"/>
        <v>2121.4699999999998</v>
      </c>
    </row>
    <row r="158" spans="1:4">
      <c r="A158" s="84" t="s">
        <v>2237</v>
      </c>
      <c r="B158" s="369">
        <v>1831.508</v>
      </c>
      <c r="C158" s="367">
        <f t="shared" si="4"/>
        <v>2140.6770000000001</v>
      </c>
      <c r="D158" s="367">
        <f t="shared" si="5"/>
        <v>2076.0540000000001</v>
      </c>
    </row>
    <row r="159" spans="1:4">
      <c r="A159" s="84" t="s">
        <v>2238</v>
      </c>
      <c r="B159" s="366">
        <v>1838.0060000000001</v>
      </c>
      <c r="C159" s="368">
        <f t="shared" si="4"/>
        <v>1831.508</v>
      </c>
      <c r="D159" s="367">
        <f t="shared" si="5"/>
        <v>2140.6770000000001</v>
      </c>
    </row>
    <row r="160" spans="1:4">
      <c r="A160" s="84" t="s">
        <v>2239</v>
      </c>
      <c r="B160" s="366">
        <v>2132.4459999999999</v>
      </c>
      <c r="C160" s="367">
        <f t="shared" si="4"/>
        <v>1838.0060000000001</v>
      </c>
      <c r="D160" s="368">
        <f t="shared" si="5"/>
        <v>1831.508</v>
      </c>
    </row>
  </sheetData>
  <phoneticPr fontId="5" type="noConversion"/>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dimension ref="A1:Z86"/>
  <sheetViews>
    <sheetView showGridLines="0" topLeftCell="C1" zoomScaleNormal="100" workbookViewId="0">
      <selection activeCell="H18" sqref="H18"/>
    </sheetView>
  </sheetViews>
  <sheetFormatPr defaultRowHeight="16.5"/>
  <cols>
    <col min="1" max="1" width="11.625" bestFit="1" customWidth="1"/>
    <col min="2" max="26" width="9.875" bestFit="1" customWidth="1"/>
  </cols>
  <sheetData>
    <row r="1" spans="1:26">
      <c r="A1" t="s">
        <v>2079</v>
      </c>
      <c r="B1" t="s">
        <v>2267</v>
      </c>
      <c r="C1" t="s">
        <v>2240</v>
      </c>
      <c r="D1" t="s">
        <v>2242</v>
      </c>
      <c r="E1" t="s">
        <v>2245</v>
      </c>
      <c r="F1" t="s">
        <v>2246</v>
      </c>
      <c r="G1" t="s">
        <v>2247</v>
      </c>
      <c r="H1" t="s">
        <v>2248</v>
      </c>
      <c r="I1" t="s">
        <v>2249</v>
      </c>
      <c r="J1" t="s">
        <v>2250</v>
      </c>
      <c r="K1" t="s">
        <v>2251</v>
      </c>
      <c r="L1" t="s">
        <v>2252</v>
      </c>
      <c r="M1" t="s">
        <v>2253</v>
      </c>
      <c r="N1" t="s">
        <v>2254</v>
      </c>
      <c r="O1" t="s">
        <v>2255</v>
      </c>
      <c r="P1" t="s">
        <v>2256</v>
      </c>
      <c r="Q1" t="s">
        <v>2257</v>
      </c>
      <c r="R1" t="s">
        <v>2258</v>
      </c>
      <c r="S1" t="s">
        <v>2259</v>
      </c>
      <c r="T1" t="s">
        <v>2260</v>
      </c>
      <c r="U1" t="s">
        <v>2261</v>
      </c>
      <c r="V1" t="s">
        <v>2262</v>
      </c>
      <c r="W1" t="s">
        <v>2263</v>
      </c>
      <c r="X1" t="s">
        <v>2264</v>
      </c>
      <c r="Y1" t="s">
        <v>2265</v>
      </c>
      <c r="Z1" t="s">
        <v>2266</v>
      </c>
    </row>
    <row r="2" spans="1:26">
      <c r="A2" t="s">
        <v>2081</v>
      </c>
      <c r="B2" s="371">
        <v>1708.9169999999999</v>
      </c>
      <c r="C2" s="371"/>
      <c r="D2" s="371"/>
      <c r="E2" s="371"/>
      <c r="F2" s="371"/>
      <c r="G2" s="371"/>
      <c r="H2" s="371"/>
      <c r="I2" s="371"/>
      <c r="J2" s="371"/>
      <c r="K2" s="371"/>
      <c r="L2" s="371"/>
      <c r="M2" s="371"/>
      <c r="N2" s="371"/>
      <c r="O2" s="371"/>
      <c r="P2" s="371"/>
      <c r="Q2" s="371"/>
      <c r="R2" s="371"/>
      <c r="S2" s="371"/>
      <c r="T2" s="371"/>
      <c r="U2" s="371"/>
      <c r="V2" s="371"/>
      <c r="W2" s="371"/>
      <c r="X2" s="371"/>
      <c r="Y2" s="371"/>
      <c r="Z2" s="371"/>
    </row>
    <row r="3" spans="1:26">
      <c r="A3" t="s">
        <v>2082</v>
      </c>
      <c r="B3" s="371">
        <v>1620.586</v>
      </c>
      <c r="C3" s="371">
        <v>1708.9169999999999</v>
      </c>
      <c r="D3" s="371"/>
      <c r="E3" s="371"/>
      <c r="F3" s="371"/>
      <c r="G3" s="371"/>
      <c r="H3" s="371"/>
      <c r="I3" s="371"/>
      <c r="J3" s="371"/>
      <c r="K3" s="371"/>
      <c r="L3" s="371"/>
      <c r="M3" s="371"/>
      <c r="N3" s="371"/>
      <c r="O3" s="371"/>
      <c r="P3" s="371"/>
      <c r="Q3" s="371"/>
      <c r="R3" s="371"/>
      <c r="S3" s="371"/>
      <c r="T3" s="371"/>
      <c r="U3" s="371"/>
      <c r="V3" s="371"/>
      <c r="W3" s="371"/>
      <c r="X3" s="371"/>
      <c r="Y3" s="371"/>
      <c r="Z3" s="371"/>
    </row>
    <row r="4" spans="1:26">
      <c r="A4" t="s">
        <v>2083</v>
      </c>
      <c r="B4" s="371">
        <v>1972.7149999999999</v>
      </c>
      <c r="C4" s="371">
        <v>1620.586</v>
      </c>
      <c r="D4" s="371">
        <v>1708.9169999999999</v>
      </c>
      <c r="E4" s="371"/>
      <c r="F4" s="371"/>
      <c r="G4" s="371"/>
      <c r="H4" s="371"/>
      <c r="I4" s="371"/>
      <c r="J4" s="371"/>
      <c r="K4" s="371"/>
      <c r="L4" s="371"/>
      <c r="M4" s="371"/>
      <c r="N4" s="371"/>
      <c r="O4" s="371"/>
      <c r="P4" s="371"/>
      <c r="Q4" s="371"/>
      <c r="R4" s="371"/>
      <c r="S4" s="371"/>
      <c r="T4" s="371"/>
      <c r="U4" s="371"/>
      <c r="V4" s="371"/>
      <c r="W4" s="371"/>
      <c r="X4" s="371"/>
      <c r="Y4" s="371"/>
      <c r="Z4" s="371"/>
    </row>
    <row r="5" spans="1:26">
      <c r="A5" t="s">
        <v>2084</v>
      </c>
      <c r="B5" s="371">
        <v>1811.665</v>
      </c>
      <c r="C5" s="371">
        <v>1972.7149999999999</v>
      </c>
      <c r="D5" s="371">
        <v>1620.586</v>
      </c>
      <c r="E5" s="371">
        <f>B2</f>
        <v>1708.9169999999999</v>
      </c>
      <c r="F5" s="371"/>
      <c r="G5" s="371"/>
      <c r="H5" s="371"/>
      <c r="I5" s="371"/>
      <c r="J5" s="371"/>
      <c r="K5" s="371"/>
      <c r="L5" s="371"/>
      <c r="M5" s="371"/>
      <c r="N5" s="371"/>
      <c r="O5" s="371"/>
      <c r="P5" s="371"/>
      <c r="Q5" s="371"/>
      <c r="R5" s="371"/>
      <c r="S5" s="371"/>
      <c r="T5" s="371"/>
      <c r="U5" s="371"/>
      <c r="V5" s="371"/>
      <c r="W5" s="371"/>
      <c r="X5" s="371"/>
      <c r="Y5" s="371"/>
      <c r="Z5" s="371"/>
    </row>
    <row r="6" spans="1:26">
      <c r="A6" t="s">
        <v>2085</v>
      </c>
      <c r="B6" s="371">
        <v>1974.9639999999999</v>
      </c>
      <c r="C6" s="371">
        <v>1811.665</v>
      </c>
      <c r="D6" s="371">
        <v>1972.7149999999999</v>
      </c>
      <c r="E6" s="371">
        <f t="shared" ref="E6:E26" si="0">B3</f>
        <v>1620.586</v>
      </c>
      <c r="F6" s="371">
        <f>B2</f>
        <v>1708.9169999999999</v>
      </c>
      <c r="G6" s="371"/>
      <c r="H6" s="371"/>
      <c r="I6" s="371"/>
      <c r="J6" s="371"/>
      <c r="K6" s="371"/>
      <c r="L6" s="371"/>
      <c r="M6" s="371"/>
      <c r="N6" s="371"/>
      <c r="O6" s="371"/>
      <c r="P6" s="371"/>
      <c r="Q6" s="371"/>
      <c r="R6" s="371"/>
      <c r="S6" s="371"/>
      <c r="T6" s="371"/>
      <c r="U6" s="371"/>
      <c r="V6" s="371"/>
      <c r="W6" s="371"/>
      <c r="X6" s="371"/>
      <c r="Y6" s="371"/>
      <c r="Z6" s="371"/>
    </row>
    <row r="7" spans="1:26">
      <c r="A7" t="s">
        <v>2086</v>
      </c>
      <c r="B7" s="371">
        <v>1862.356</v>
      </c>
      <c r="C7" s="371">
        <v>1974.9639999999999</v>
      </c>
      <c r="D7" s="371">
        <v>1811.665</v>
      </c>
      <c r="E7" s="371">
        <f t="shared" si="0"/>
        <v>1972.7149999999999</v>
      </c>
      <c r="F7" s="371">
        <f t="shared" ref="F7:F26" si="1">B3</f>
        <v>1620.586</v>
      </c>
      <c r="G7" s="371">
        <f>B2</f>
        <v>1708.9169999999999</v>
      </c>
      <c r="H7" s="371"/>
      <c r="I7" s="371"/>
      <c r="J7" s="371"/>
      <c r="K7" s="371"/>
      <c r="L7" s="371"/>
      <c r="M7" s="371"/>
      <c r="N7" s="371"/>
      <c r="O7" s="371"/>
      <c r="P7" s="371"/>
      <c r="Q7" s="371"/>
      <c r="R7" s="371"/>
      <c r="S7" s="371"/>
      <c r="T7" s="371"/>
      <c r="U7" s="371"/>
      <c r="V7" s="371"/>
      <c r="W7" s="371"/>
      <c r="X7" s="371"/>
      <c r="Y7" s="371"/>
      <c r="Z7" s="371"/>
    </row>
    <row r="8" spans="1:26">
      <c r="A8" t="s">
        <v>2087</v>
      </c>
      <c r="B8" s="371">
        <v>1939.86</v>
      </c>
      <c r="C8" s="371">
        <v>1862.356</v>
      </c>
      <c r="D8" s="371">
        <v>1974.9639999999999</v>
      </c>
      <c r="E8" s="371">
        <f t="shared" si="0"/>
        <v>1811.665</v>
      </c>
      <c r="F8" s="371">
        <f t="shared" si="1"/>
        <v>1972.7149999999999</v>
      </c>
      <c r="G8" s="371">
        <f t="shared" ref="G8:G26" si="2">B3</f>
        <v>1620.586</v>
      </c>
      <c r="H8" s="371">
        <f>B2</f>
        <v>1708.9169999999999</v>
      </c>
      <c r="I8" s="371"/>
      <c r="J8" s="371"/>
      <c r="K8" s="371"/>
      <c r="L8" s="371"/>
      <c r="M8" s="371"/>
      <c r="N8" s="371"/>
      <c r="O8" s="371"/>
      <c r="P8" s="371"/>
      <c r="Q8" s="371"/>
      <c r="R8" s="371"/>
      <c r="S8" s="371"/>
      <c r="T8" s="371"/>
      <c r="U8" s="371"/>
      <c r="V8" s="371"/>
      <c r="W8" s="371"/>
      <c r="X8" s="371"/>
      <c r="Y8" s="371"/>
      <c r="Z8" s="371"/>
    </row>
    <row r="9" spans="1:26">
      <c r="A9" t="s">
        <v>2088</v>
      </c>
      <c r="B9" s="371">
        <v>2013.2639999999999</v>
      </c>
      <c r="C9" s="371">
        <v>1939.86</v>
      </c>
      <c r="D9" s="371">
        <v>1862.356</v>
      </c>
      <c r="E9" s="371">
        <f t="shared" si="0"/>
        <v>1974.9639999999999</v>
      </c>
      <c r="F9" s="371">
        <f t="shared" si="1"/>
        <v>1811.665</v>
      </c>
      <c r="G9" s="371">
        <f t="shared" si="2"/>
        <v>1972.7149999999999</v>
      </c>
      <c r="H9" s="371">
        <f t="shared" ref="H9:H26" si="3">B3</f>
        <v>1620.586</v>
      </c>
      <c r="I9" s="371">
        <f>B2</f>
        <v>1708.9169999999999</v>
      </c>
      <c r="J9" s="371"/>
      <c r="K9" s="371"/>
      <c r="L9" s="371"/>
      <c r="M9" s="371"/>
      <c r="N9" s="371"/>
      <c r="O9" s="371"/>
      <c r="P9" s="371"/>
      <c r="Q9" s="371"/>
      <c r="R9" s="371"/>
      <c r="S9" s="371"/>
      <c r="T9" s="371"/>
      <c r="U9" s="371"/>
      <c r="V9" s="371"/>
      <c r="W9" s="371"/>
      <c r="X9" s="371"/>
      <c r="Y9" s="371"/>
      <c r="Z9" s="371"/>
    </row>
    <row r="10" spans="1:26">
      <c r="A10" t="s">
        <v>2089</v>
      </c>
      <c r="B10" s="371">
        <v>1595.6569999999999</v>
      </c>
      <c r="C10" s="371">
        <v>2013.2639999999999</v>
      </c>
      <c r="D10" s="371">
        <v>1939.86</v>
      </c>
      <c r="E10" s="371">
        <f t="shared" si="0"/>
        <v>1862.356</v>
      </c>
      <c r="F10" s="371">
        <f t="shared" si="1"/>
        <v>1974.9639999999999</v>
      </c>
      <c r="G10" s="371">
        <f t="shared" si="2"/>
        <v>1811.665</v>
      </c>
      <c r="H10" s="371">
        <f t="shared" si="3"/>
        <v>1972.7149999999999</v>
      </c>
      <c r="I10" s="371">
        <f t="shared" ref="I10:I26" si="4">B3</f>
        <v>1620.586</v>
      </c>
      <c r="J10" s="371">
        <f>B2</f>
        <v>1708.9169999999999</v>
      </c>
      <c r="K10" s="371"/>
      <c r="L10" s="371"/>
      <c r="M10" s="371"/>
      <c r="N10" s="371"/>
      <c r="O10" s="371"/>
      <c r="P10" s="371"/>
      <c r="Q10" s="371"/>
      <c r="R10" s="371"/>
      <c r="S10" s="371"/>
      <c r="T10" s="371"/>
      <c r="U10" s="371"/>
      <c r="V10" s="371"/>
      <c r="W10" s="371"/>
      <c r="X10" s="371"/>
      <c r="Y10" s="371"/>
      <c r="Z10" s="371"/>
    </row>
    <row r="11" spans="1:26">
      <c r="A11" t="s">
        <v>2090</v>
      </c>
      <c r="B11" s="371">
        <v>1724.924</v>
      </c>
      <c r="C11" s="371">
        <v>1595.6569999999999</v>
      </c>
      <c r="D11" s="371">
        <v>2013.2639999999999</v>
      </c>
      <c r="E11" s="371">
        <f t="shared" si="0"/>
        <v>1939.86</v>
      </c>
      <c r="F11" s="371">
        <f t="shared" si="1"/>
        <v>1862.356</v>
      </c>
      <c r="G11" s="371">
        <f t="shared" si="2"/>
        <v>1974.9639999999999</v>
      </c>
      <c r="H11" s="371">
        <f t="shared" si="3"/>
        <v>1811.665</v>
      </c>
      <c r="I11" s="371">
        <f t="shared" si="4"/>
        <v>1972.7149999999999</v>
      </c>
      <c r="J11" s="371">
        <f t="shared" ref="J11:J26" si="5">B3</f>
        <v>1620.586</v>
      </c>
      <c r="K11" s="371">
        <f>B2</f>
        <v>1708.9169999999999</v>
      </c>
      <c r="L11" s="371"/>
      <c r="M11" s="371"/>
      <c r="N11" s="371"/>
      <c r="O11" s="371"/>
      <c r="P11" s="371"/>
      <c r="Q11" s="371"/>
      <c r="R11" s="371"/>
      <c r="S11" s="371"/>
      <c r="T11" s="371"/>
      <c r="U11" s="371"/>
      <c r="V11" s="371"/>
      <c r="W11" s="371"/>
      <c r="X11" s="371"/>
      <c r="Y11" s="371"/>
      <c r="Z11" s="371"/>
    </row>
    <row r="12" spans="1:26">
      <c r="A12" t="s">
        <v>2091</v>
      </c>
      <c r="B12" s="371">
        <v>1675.6669999999999</v>
      </c>
      <c r="C12" s="371">
        <v>1724.924</v>
      </c>
      <c r="D12" s="371">
        <v>1595.6569999999999</v>
      </c>
      <c r="E12" s="371">
        <f t="shared" si="0"/>
        <v>2013.2639999999999</v>
      </c>
      <c r="F12" s="371">
        <f t="shared" si="1"/>
        <v>1939.86</v>
      </c>
      <c r="G12" s="371">
        <f t="shared" si="2"/>
        <v>1862.356</v>
      </c>
      <c r="H12" s="371">
        <f t="shared" si="3"/>
        <v>1974.9639999999999</v>
      </c>
      <c r="I12" s="371">
        <f t="shared" si="4"/>
        <v>1811.665</v>
      </c>
      <c r="J12" s="371">
        <f t="shared" si="5"/>
        <v>1972.7149999999999</v>
      </c>
      <c r="K12" s="371">
        <f t="shared" ref="K12:K26" si="6">B3</f>
        <v>1620.586</v>
      </c>
      <c r="L12" s="371">
        <f>B2</f>
        <v>1708.9169999999999</v>
      </c>
      <c r="M12" s="371"/>
      <c r="N12" s="371"/>
      <c r="O12" s="371"/>
      <c r="P12" s="371"/>
      <c r="Q12" s="371"/>
      <c r="R12" s="371"/>
      <c r="S12" s="371"/>
      <c r="T12" s="371"/>
      <c r="U12" s="371"/>
      <c r="V12" s="371"/>
      <c r="W12" s="371"/>
      <c r="X12" s="371"/>
      <c r="Y12" s="371"/>
      <c r="Z12" s="371"/>
    </row>
    <row r="13" spans="1:26">
      <c r="A13" t="s">
        <v>2092</v>
      </c>
      <c r="B13" s="371">
        <v>1813.8630000000001</v>
      </c>
      <c r="C13" s="371">
        <v>1675.6669999999999</v>
      </c>
      <c r="D13" s="371">
        <v>1724.924</v>
      </c>
      <c r="E13" s="371">
        <f t="shared" si="0"/>
        <v>1595.6569999999999</v>
      </c>
      <c r="F13" s="371">
        <f t="shared" si="1"/>
        <v>2013.2639999999999</v>
      </c>
      <c r="G13" s="371">
        <f t="shared" si="2"/>
        <v>1939.86</v>
      </c>
      <c r="H13" s="371">
        <f t="shared" si="3"/>
        <v>1862.356</v>
      </c>
      <c r="I13" s="371">
        <f t="shared" si="4"/>
        <v>1974.9639999999999</v>
      </c>
      <c r="J13" s="371">
        <f t="shared" si="5"/>
        <v>1811.665</v>
      </c>
      <c r="K13" s="371">
        <f t="shared" si="6"/>
        <v>1972.7149999999999</v>
      </c>
      <c r="L13" s="371">
        <f t="shared" ref="L13:L26" si="7">B3</f>
        <v>1620.586</v>
      </c>
      <c r="M13" s="371">
        <f>B2</f>
        <v>1708.9169999999999</v>
      </c>
      <c r="N13" s="371"/>
      <c r="O13" s="371"/>
      <c r="P13" s="371"/>
      <c r="Q13" s="371"/>
      <c r="R13" s="371"/>
      <c r="S13" s="371"/>
      <c r="T13" s="371"/>
      <c r="U13" s="371"/>
      <c r="V13" s="371"/>
      <c r="W13" s="371"/>
      <c r="X13" s="371"/>
      <c r="Y13" s="371"/>
      <c r="Z13" s="371"/>
    </row>
    <row r="14" spans="1:26">
      <c r="A14" t="s">
        <v>2093</v>
      </c>
      <c r="B14" s="371">
        <v>1614.827</v>
      </c>
      <c r="C14" s="371">
        <v>1813.8630000000001</v>
      </c>
      <c r="D14" s="371">
        <v>1675.6669999999999</v>
      </c>
      <c r="E14" s="371">
        <f t="shared" si="0"/>
        <v>1724.924</v>
      </c>
      <c r="F14" s="371">
        <f t="shared" si="1"/>
        <v>1595.6569999999999</v>
      </c>
      <c r="G14" s="371">
        <f t="shared" si="2"/>
        <v>2013.2639999999999</v>
      </c>
      <c r="H14" s="371">
        <f t="shared" si="3"/>
        <v>1939.86</v>
      </c>
      <c r="I14" s="371">
        <f t="shared" si="4"/>
        <v>1862.356</v>
      </c>
      <c r="J14" s="371">
        <f t="shared" si="5"/>
        <v>1974.9639999999999</v>
      </c>
      <c r="K14" s="371">
        <f t="shared" si="6"/>
        <v>1811.665</v>
      </c>
      <c r="L14" s="371">
        <f t="shared" si="7"/>
        <v>1972.7149999999999</v>
      </c>
      <c r="M14" s="371">
        <f t="shared" ref="M14:M26" si="8">B3</f>
        <v>1620.586</v>
      </c>
      <c r="N14" s="371">
        <f>B2</f>
        <v>1708.9169999999999</v>
      </c>
      <c r="O14" s="371"/>
      <c r="P14" s="371"/>
      <c r="Q14" s="371"/>
      <c r="R14" s="371"/>
      <c r="S14" s="371"/>
      <c r="T14" s="371"/>
      <c r="U14" s="371"/>
      <c r="V14" s="371"/>
      <c r="W14" s="371"/>
      <c r="X14" s="371"/>
      <c r="Y14" s="371"/>
      <c r="Z14" s="371"/>
    </row>
    <row r="15" spans="1:26">
      <c r="A15" t="s">
        <v>2094</v>
      </c>
      <c r="B15" s="371">
        <v>1557.088</v>
      </c>
      <c r="C15" s="371">
        <v>1614.827</v>
      </c>
      <c r="D15" s="371">
        <v>1813.8630000000001</v>
      </c>
      <c r="E15" s="371">
        <f t="shared" si="0"/>
        <v>1675.6669999999999</v>
      </c>
      <c r="F15" s="371">
        <f t="shared" si="1"/>
        <v>1724.924</v>
      </c>
      <c r="G15" s="371">
        <f t="shared" si="2"/>
        <v>1595.6569999999999</v>
      </c>
      <c r="H15" s="371">
        <f t="shared" si="3"/>
        <v>2013.2639999999999</v>
      </c>
      <c r="I15" s="371">
        <f t="shared" si="4"/>
        <v>1939.86</v>
      </c>
      <c r="J15" s="371">
        <f t="shared" si="5"/>
        <v>1862.356</v>
      </c>
      <c r="K15" s="371">
        <f t="shared" si="6"/>
        <v>1974.9639999999999</v>
      </c>
      <c r="L15" s="371">
        <f t="shared" si="7"/>
        <v>1811.665</v>
      </c>
      <c r="M15" s="371">
        <f t="shared" si="8"/>
        <v>1972.7149999999999</v>
      </c>
      <c r="N15" s="371">
        <f t="shared" ref="N15:N26" si="9">B3</f>
        <v>1620.586</v>
      </c>
      <c r="O15" s="371">
        <f>B2</f>
        <v>1708.9169999999999</v>
      </c>
      <c r="P15" s="371"/>
      <c r="Q15" s="371"/>
      <c r="R15" s="371"/>
      <c r="S15" s="371"/>
      <c r="T15" s="371"/>
      <c r="U15" s="371"/>
      <c r="V15" s="371"/>
      <c r="W15" s="371"/>
      <c r="X15" s="371"/>
      <c r="Y15" s="371"/>
      <c r="Z15" s="371"/>
    </row>
    <row r="16" spans="1:26">
      <c r="A16" t="s">
        <v>2095</v>
      </c>
      <c r="B16" s="371">
        <v>1891.223</v>
      </c>
      <c r="C16" s="371">
        <v>1557.088</v>
      </c>
      <c r="D16" s="371">
        <v>1614.827</v>
      </c>
      <c r="E16" s="371">
        <f t="shared" si="0"/>
        <v>1813.8630000000001</v>
      </c>
      <c r="F16" s="371">
        <f t="shared" si="1"/>
        <v>1675.6669999999999</v>
      </c>
      <c r="G16" s="371">
        <f t="shared" si="2"/>
        <v>1724.924</v>
      </c>
      <c r="H16" s="371">
        <f t="shared" si="3"/>
        <v>1595.6569999999999</v>
      </c>
      <c r="I16" s="371">
        <f t="shared" si="4"/>
        <v>2013.2639999999999</v>
      </c>
      <c r="J16" s="371">
        <f t="shared" si="5"/>
        <v>1939.86</v>
      </c>
      <c r="K16" s="371">
        <f t="shared" si="6"/>
        <v>1862.356</v>
      </c>
      <c r="L16" s="371">
        <f t="shared" si="7"/>
        <v>1974.9639999999999</v>
      </c>
      <c r="M16" s="371">
        <f t="shared" si="8"/>
        <v>1811.665</v>
      </c>
      <c r="N16" s="371">
        <f t="shared" si="9"/>
        <v>1972.7149999999999</v>
      </c>
      <c r="O16" s="371">
        <f t="shared" ref="O16:O26" si="10">B3</f>
        <v>1620.586</v>
      </c>
      <c r="P16" s="371">
        <f>B2</f>
        <v>1708.9169999999999</v>
      </c>
      <c r="Q16" s="371"/>
      <c r="R16" s="371"/>
      <c r="S16" s="371"/>
      <c r="T16" s="371"/>
      <c r="U16" s="371"/>
      <c r="V16" s="371"/>
      <c r="W16" s="371"/>
      <c r="X16" s="371"/>
      <c r="Y16" s="371"/>
      <c r="Z16" s="371"/>
    </row>
    <row r="17" spans="1:26">
      <c r="A17" t="s">
        <v>2096</v>
      </c>
      <c r="B17" s="371">
        <v>1955.981</v>
      </c>
      <c r="C17" s="371">
        <v>1891.223</v>
      </c>
      <c r="D17" s="371">
        <v>1557.088</v>
      </c>
      <c r="E17" s="371">
        <f t="shared" si="0"/>
        <v>1614.827</v>
      </c>
      <c r="F17" s="371">
        <f t="shared" si="1"/>
        <v>1813.8630000000001</v>
      </c>
      <c r="G17" s="371">
        <f t="shared" si="2"/>
        <v>1675.6669999999999</v>
      </c>
      <c r="H17" s="371">
        <f t="shared" si="3"/>
        <v>1724.924</v>
      </c>
      <c r="I17" s="371">
        <f t="shared" si="4"/>
        <v>1595.6569999999999</v>
      </c>
      <c r="J17" s="371">
        <f t="shared" si="5"/>
        <v>2013.2639999999999</v>
      </c>
      <c r="K17" s="371">
        <f t="shared" si="6"/>
        <v>1939.86</v>
      </c>
      <c r="L17" s="371">
        <f t="shared" si="7"/>
        <v>1862.356</v>
      </c>
      <c r="M17" s="371">
        <f t="shared" si="8"/>
        <v>1974.9639999999999</v>
      </c>
      <c r="N17" s="371">
        <f t="shared" si="9"/>
        <v>1811.665</v>
      </c>
      <c r="O17" s="371">
        <f t="shared" si="10"/>
        <v>1972.7149999999999</v>
      </c>
      <c r="P17" s="371">
        <f t="shared" ref="P17:P26" si="11">B3</f>
        <v>1620.586</v>
      </c>
      <c r="Q17" s="371">
        <f>B2</f>
        <v>1708.9169999999999</v>
      </c>
      <c r="R17" s="371"/>
      <c r="S17" s="371"/>
      <c r="T17" s="371"/>
      <c r="U17" s="371"/>
      <c r="V17" s="371"/>
      <c r="W17" s="371"/>
      <c r="X17" s="371"/>
      <c r="Y17" s="371"/>
      <c r="Z17" s="371"/>
    </row>
    <row r="18" spans="1:26">
      <c r="A18" t="s">
        <v>2097</v>
      </c>
      <c r="B18" s="371">
        <v>1884.7139999999999</v>
      </c>
      <c r="C18" s="371">
        <v>1955.981</v>
      </c>
      <c r="D18" s="371">
        <v>1891.223</v>
      </c>
      <c r="E18" s="371">
        <f t="shared" si="0"/>
        <v>1557.088</v>
      </c>
      <c r="F18" s="371">
        <f t="shared" si="1"/>
        <v>1614.827</v>
      </c>
      <c r="G18" s="371">
        <f t="shared" si="2"/>
        <v>1813.8630000000001</v>
      </c>
      <c r="H18" s="371">
        <f t="shared" si="3"/>
        <v>1675.6669999999999</v>
      </c>
      <c r="I18" s="371">
        <f t="shared" si="4"/>
        <v>1724.924</v>
      </c>
      <c r="J18" s="371">
        <f t="shared" si="5"/>
        <v>1595.6569999999999</v>
      </c>
      <c r="K18" s="371">
        <f t="shared" si="6"/>
        <v>2013.2639999999999</v>
      </c>
      <c r="L18" s="371">
        <f t="shared" si="7"/>
        <v>1939.86</v>
      </c>
      <c r="M18" s="371">
        <f t="shared" si="8"/>
        <v>1862.356</v>
      </c>
      <c r="N18" s="371">
        <f t="shared" si="9"/>
        <v>1974.9639999999999</v>
      </c>
      <c r="O18" s="371">
        <f t="shared" si="10"/>
        <v>1811.665</v>
      </c>
      <c r="P18" s="371">
        <f t="shared" si="11"/>
        <v>1972.7149999999999</v>
      </c>
      <c r="Q18" s="371">
        <f t="shared" ref="Q18:Q26" si="12">B3</f>
        <v>1620.586</v>
      </c>
      <c r="R18" s="371">
        <f>B2</f>
        <v>1708.9169999999999</v>
      </c>
      <c r="S18" s="371"/>
      <c r="T18" s="371"/>
      <c r="U18" s="371"/>
      <c r="V18" s="371"/>
      <c r="W18" s="371"/>
      <c r="X18" s="371"/>
      <c r="Y18" s="371"/>
      <c r="Z18" s="371"/>
    </row>
    <row r="19" spans="1:26">
      <c r="A19" t="s">
        <v>2098</v>
      </c>
      <c r="B19" s="371">
        <v>1623.0419999999999</v>
      </c>
      <c r="C19" s="371">
        <v>1884.7139999999999</v>
      </c>
      <c r="D19" s="371">
        <v>1955.981</v>
      </c>
      <c r="E19" s="371">
        <f t="shared" si="0"/>
        <v>1891.223</v>
      </c>
      <c r="F19" s="371">
        <f t="shared" si="1"/>
        <v>1557.088</v>
      </c>
      <c r="G19" s="371">
        <f t="shared" si="2"/>
        <v>1614.827</v>
      </c>
      <c r="H19" s="371">
        <f t="shared" si="3"/>
        <v>1813.8630000000001</v>
      </c>
      <c r="I19" s="371">
        <f t="shared" si="4"/>
        <v>1675.6669999999999</v>
      </c>
      <c r="J19" s="371">
        <f t="shared" si="5"/>
        <v>1724.924</v>
      </c>
      <c r="K19" s="371">
        <f t="shared" si="6"/>
        <v>1595.6569999999999</v>
      </c>
      <c r="L19" s="371">
        <f t="shared" si="7"/>
        <v>2013.2639999999999</v>
      </c>
      <c r="M19" s="371">
        <f t="shared" si="8"/>
        <v>1939.86</v>
      </c>
      <c r="N19" s="371">
        <f t="shared" si="9"/>
        <v>1862.356</v>
      </c>
      <c r="O19" s="371">
        <f t="shared" si="10"/>
        <v>1974.9639999999999</v>
      </c>
      <c r="P19" s="371">
        <f t="shared" si="11"/>
        <v>1811.665</v>
      </c>
      <c r="Q19" s="371">
        <f t="shared" si="12"/>
        <v>1972.7149999999999</v>
      </c>
      <c r="R19" s="371">
        <f t="shared" ref="R19:R26" si="13">B3</f>
        <v>1620.586</v>
      </c>
      <c r="S19" s="371">
        <f>B2</f>
        <v>1708.9169999999999</v>
      </c>
      <c r="T19" s="371"/>
      <c r="U19" s="371"/>
      <c r="V19" s="371"/>
      <c r="W19" s="371"/>
      <c r="X19" s="371"/>
      <c r="Y19" s="371"/>
      <c r="Z19" s="371"/>
    </row>
    <row r="20" spans="1:26">
      <c r="A20" t="s">
        <v>2099</v>
      </c>
      <c r="B20" s="371">
        <v>1903.309</v>
      </c>
      <c r="C20" s="371">
        <v>1623.0419999999999</v>
      </c>
      <c r="D20" s="371">
        <v>1884.7139999999999</v>
      </c>
      <c r="E20" s="371">
        <f t="shared" si="0"/>
        <v>1955.981</v>
      </c>
      <c r="F20" s="371">
        <f t="shared" si="1"/>
        <v>1891.223</v>
      </c>
      <c r="G20" s="371">
        <f t="shared" si="2"/>
        <v>1557.088</v>
      </c>
      <c r="H20" s="371">
        <f t="shared" si="3"/>
        <v>1614.827</v>
      </c>
      <c r="I20" s="371">
        <f t="shared" si="4"/>
        <v>1813.8630000000001</v>
      </c>
      <c r="J20" s="371">
        <f t="shared" si="5"/>
        <v>1675.6669999999999</v>
      </c>
      <c r="K20" s="371">
        <f t="shared" si="6"/>
        <v>1724.924</v>
      </c>
      <c r="L20" s="371">
        <f t="shared" si="7"/>
        <v>1595.6569999999999</v>
      </c>
      <c r="M20" s="371">
        <f t="shared" si="8"/>
        <v>2013.2639999999999</v>
      </c>
      <c r="N20" s="371">
        <f t="shared" si="9"/>
        <v>1939.86</v>
      </c>
      <c r="O20" s="371">
        <f t="shared" si="10"/>
        <v>1862.356</v>
      </c>
      <c r="P20" s="371">
        <f t="shared" si="11"/>
        <v>1974.9639999999999</v>
      </c>
      <c r="Q20" s="371">
        <f t="shared" si="12"/>
        <v>1811.665</v>
      </c>
      <c r="R20" s="371">
        <f t="shared" si="13"/>
        <v>1972.7149999999999</v>
      </c>
      <c r="S20" s="371">
        <f t="shared" ref="S20:S26" si="14">B3</f>
        <v>1620.586</v>
      </c>
      <c r="T20" s="371">
        <f>B2</f>
        <v>1708.9169999999999</v>
      </c>
      <c r="U20" s="371"/>
      <c r="V20" s="371"/>
      <c r="W20" s="371"/>
      <c r="X20" s="371"/>
      <c r="Y20" s="371"/>
      <c r="Z20" s="371"/>
    </row>
    <row r="21" spans="1:26">
      <c r="A21" t="s">
        <v>2100</v>
      </c>
      <c r="B21" s="371">
        <v>1996.712</v>
      </c>
      <c r="C21" s="371">
        <v>1903.309</v>
      </c>
      <c r="D21" s="371">
        <v>1623.0419999999999</v>
      </c>
      <c r="E21" s="371">
        <f t="shared" si="0"/>
        <v>1884.7139999999999</v>
      </c>
      <c r="F21" s="371">
        <f t="shared" si="1"/>
        <v>1955.981</v>
      </c>
      <c r="G21" s="371">
        <f t="shared" si="2"/>
        <v>1891.223</v>
      </c>
      <c r="H21" s="371">
        <f t="shared" si="3"/>
        <v>1557.088</v>
      </c>
      <c r="I21" s="371">
        <f t="shared" si="4"/>
        <v>1614.827</v>
      </c>
      <c r="J21" s="371">
        <f t="shared" si="5"/>
        <v>1813.8630000000001</v>
      </c>
      <c r="K21" s="371">
        <f t="shared" si="6"/>
        <v>1675.6669999999999</v>
      </c>
      <c r="L21" s="371">
        <f t="shared" si="7"/>
        <v>1724.924</v>
      </c>
      <c r="M21" s="371">
        <f t="shared" si="8"/>
        <v>1595.6569999999999</v>
      </c>
      <c r="N21" s="371">
        <f t="shared" si="9"/>
        <v>2013.2639999999999</v>
      </c>
      <c r="O21" s="371">
        <f t="shared" si="10"/>
        <v>1939.86</v>
      </c>
      <c r="P21" s="371">
        <f t="shared" si="11"/>
        <v>1862.356</v>
      </c>
      <c r="Q21" s="371">
        <f t="shared" si="12"/>
        <v>1974.9639999999999</v>
      </c>
      <c r="R21" s="371">
        <f t="shared" si="13"/>
        <v>1811.665</v>
      </c>
      <c r="S21" s="371">
        <f t="shared" si="14"/>
        <v>1972.7149999999999</v>
      </c>
      <c r="T21" s="371">
        <f t="shared" ref="T21:T26" si="15">B3</f>
        <v>1620.586</v>
      </c>
      <c r="U21" s="371">
        <f>B2</f>
        <v>1708.9169999999999</v>
      </c>
      <c r="V21" s="371"/>
      <c r="W21" s="371"/>
      <c r="X21" s="371"/>
      <c r="Y21" s="371"/>
      <c r="Z21" s="371"/>
    </row>
    <row r="22" spans="1:26">
      <c r="A22" t="s">
        <v>2101</v>
      </c>
      <c r="B22" s="371">
        <v>1703.8969999999999</v>
      </c>
      <c r="C22" s="371">
        <v>1996.712</v>
      </c>
      <c r="D22" s="371">
        <v>1903.309</v>
      </c>
      <c r="E22" s="371">
        <f t="shared" si="0"/>
        <v>1623.0419999999999</v>
      </c>
      <c r="F22" s="371">
        <f t="shared" si="1"/>
        <v>1884.7139999999999</v>
      </c>
      <c r="G22" s="371">
        <f t="shared" si="2"/>
        <v>1955.981</v>
      </c>
      <c r="H22" s="371">
        <f t="shared" si="3"/>
        <v>1891.223</v>
      </c>
      <c r="I22" s="371">
        <f t="shared" si="4"/>
        <v>1557.088</v>
      </c>
      <c r="J22" s="371">
        <f t="shared" si="5"/>
        <v>1614.827</v>
      </c>
      <c r="K22" s="371">
        <f t="shared" si="6"/>
        <v>1813.8630000000001</v>
      </c>
      <c r="L22" s="371">
        <f t="shared" si="7"/>
        <v>1675.6669999999999</v>
      </c>
      <c r="M22" s="371">
        <f t="shared" si="8"/>
        <v>1724.924</v>
      </c>
      <c r="N22" s="371">
        <f t="shared" si="9"/>
        <v>1595.6569999999999</v>
      </c>
      <c r="O22" s="371">
        <f t="shared" si="10"/>
        <v>2013.2639999999999</v>
      </c>
      <c r="P22" s="371">
        <f t="shared" si="11"/>
        <v>1939.86</v>
      </c>
      <c r="Q22" s="371">
        <f t="shared" si="12"/>
        <v>1862.356</v>
      </c>
      <c r="R22" s="371">
        <f t="shared" si="13"/>
        <v>1974.9639999999999</v>
      </c>
      <c r="S22" s="371">
        <f t="shared" si="14"/>
        <v>1811.665</v>
      </c>
      <c r="T22" s="371">
        <f t="shared" si="15"/>
        <v>1972.7149999999999</v>
      </c>
      <c r="U22" s="371">
        <f t="shared" ref="U22:U26" si="16">B3</f>
        <v>1620.586</v>
      </c>
      <c r="V22" s="371">
        <f>B2</f>
        <v>1708.9169999999999</v>
      </c>
      <c r="W22" s="371"/>
      <c r="X22" s="371"/>
      <c r="Y22" s="371"/>
      <c r="Z22" s="371"/>
    </row>
    <row r="23" spans="1:26">
      <c r="A23" t="s">
        <v>2102</v>
      </c>
      <c r="B23" s="371">
        <v>1810</v>
      </c>
      <c r="C23" s="371">
        <v>1703.8969999999999</v>
      </c>
      <c r="D23" s="371">
        <v>1996.712</v>
      </c>
      <c r="E23" s="371">
        <f t="shared" si="0"/>
        <v>1903.309</v>
      </c>
      <c r="F23" s="371">
        <f t="shared" si="1"/>
        <v>1623.0419999999999</v>
      </c>
      <c r="G23" s="371">
        <f t="shared" si="2"/>
        <v>1884.7139999999999</v>
      </c>
      <c r="H23" s="371">
        <f t="shared" si="3"/>
        <v>1955.981</v>
      </c>
      <c r="I23" s="371">
        <f t="shared" si="4"/>
        <v>1891.223</v>
      </c>
      <c r="J23" s="371">
        <f t="shared" si="5"/>
        <v>1557.088</v>
      </c>
      <c r="K23" s="371">
        <f t="shared" si="6"/>
        <v>1614.827</v>
      </c>
      <c r="L23" s="371">
        <f t="shared" si="7"/>
        <v>1813.8630000000001</v>
      </c>
      <c r="M23" s="371">
        <f t="shared" si="8"/>
        <v>1675.6669999999999</v>
      </c>
      <c r="N23" s="371">
        <f t="shared" si="9"/>
        <v>1724.924</v>
      </c>
      <c r="O23" s="371">
        <f t="shared" si="10"/>
        <v>1595.6569999999999</v>
      </c>
      <c r="P23" s="371">
        <f t="shared" si="11"/>
        <v>2013.2639999999999</v>
      </c>
      <c r="Q23" s="371">
        <f t="shared" si="12"/>
        <v>1939.86</v>
      </c>
      <c r="R23" s="371">
        <f t="shared" si="13"/>
        <v>1862.356</v>
      </c>
      <c r="S23" s="371">
        <f t="shared" si="14"/>
        <v>1974.9639999999999</v>
      </c>
      <c r="T23" s="371">
        <f t="shared" si="15"/>
        <v>1811.665</v>
      </c>
      <c r="U23" s="371">
        <f t="shared" si="16"/>
        <v>1972.7149999999999</v>
      </c>
      <c r="V23" s="371">
        <f t="shared" ref="V23:V26" si="17">B3</f>
        <v>1620.586</v>
      </c>
      <c r="W23" s="371">
        <f>B2</f>
        <v>1708.9169999999999</v>
      </c>
      <c r="X23" s="371"/>
      <c r="Y23" s="371"/>
      <c r="Z23" s="371"/>
    </row>
    <row r="24" spans="1:26">
      <c r="A24" t="s">
        <v>2103</v>
      </c>
      <c r="B24" s="371">
        <v>1861.6010000000001</v>
      </c>
      <c r="C24" s="371">
        <v>1810</v>
      </c>
      <c r="D24" s="371">
        <v>1703.8969999999999</v>
      </c>
      <c r="E24" s="371">
        <f t="shared" si="0"/>
        <v>1996.712</v>
      </c>
      <c r="F24" s="371">
        <f t="shared" si="1"/>
        <v>1903.309</v>
      </c>
      <c r="G24" s="371">
        <f t="shared" si="2"/>
        <v>1623.0419999999999</v>
      </c>
      <c r="H24" s="371">
        <f t="shared" si="3"/>
        <v>1884.7139999999999</v>
      </c>
      <c r="I24" s="371">
        <f t="shared" si="4"/>
        <v>1955.981</v>
      </c>
      <c r="J24" s="371">
        <f t="shared" si="5"/>
        <v>1891.223</v>
      </c>
      <c r="K24" s="371">
        <f t="shared" si="6"/>
        <v>1557.088</v>
      </c>
      <c r="L24" s="371">
        <f t="shared" si="7"/>
        <v>1614.827</v>
      </c>
      <c r="M24" s="371">
        <f t="shared" si="8"/>
        <v>1813.8630000000001</v>
      </c>
      <c r="N24" s="371">
        <f t="shared" si="9"/>
        <v>1675.6669999999999</v>
      </c>
      <c r="O24" s="371">
        <f t="shared" si="10"/>
        <v>1724.924</v>
      </c>
      <c r="P24" s="371">
        <f t="shared" si="11"/>
        <v>1595.6569999999999</v>
      </c>
      <c r="Q24" s="371">
        <f t="shared" si="12"/>
        <v>2013.2639999999999</v>
      </c>
      <c r="R24" s="371">
        <f t="shared" si="13"/>
        <v>1939.86</v>
      </c>
      <c r="S24" s="371">
        <f t="shared" si="14"/>
        <v>1862.356</v>
      </c>
      <c r="T24" s="371">
        <f t="shared" si="15"/>
        <v>1974.9639999999999</v>
      </c>
      <c r="U24" s="371">
        <f t="shared" si="16"/>
        <v>1811.665</v>
      </c>
      <c r="V24" s="371">
        <f t="shared" si="17"/>
        <v>1972.7149999999999</v>
      </c>
      <c r="W24" s="371">
        <f t="shared" ref="W24:W26" si="18">B3</f>
        <v>1620.586</v>
      </c>
      <c r="X24" s="371">
        <f>B2</f>
        <v>1708.9169999999999</v>
      </c>
      <c r="Y24" s="371"/>
      <c r="Z24" s="371"/>
    </row>
    <row r="25" spans="1:26">
      <c r="A25" t="s">
        <v>2104</v>
      </c>
      <c r="B25" s="371">
        <v>1875.1220000000001</v>
      </c>
      <c r="C25" s="371">
        <v>1861.6010000000001</v>
      </c>
      <c r="D25" s="371">
        <v>1810</v>
      </c>
      <c r="E25" s="371">
        <f t="shared" si="0"/>
        <v>1703.8969999999999</v>
      </c>
      <c r="F25" s="371">
        <f t="shared" si="1"/>
        <v>1996.712</v>
      </c>
      <c r="G25" s="371">
        <f t="shared" si="2"/>
        <v>1903.309</v>
      </c>
      <c r="H25" s="371">
        <f t="shared" si="3"/>
        <v>1623.0419999999999</v>
      </c>
      <c r="I25" s="371">
        <f t="shared" si="4"/>
        <v>1884.7139999999999</v>
      </c>
      <c r="J25" s="371">
        <f t="shared" si="5"/>
        <v>1955.981</v>
      </c>
      <c r="K25" s="371">
        <f t="shared" si="6"/>
        <v>1891.223</v>
      </c>
      <c r="L25" s="371">
        <f t="shared" si="7"/>
        <v>1557.088</v>
      </c>
      <c r="M25" s="371">
        <f t="shared" si="8"/>
        <v>1614.827</v>
      </c>
      <c r="N25" s="371">
        <f t="shared" si="9"/>
        <v>1813.8630000000001</v>
      </c>
      <c r="O25" s="371">
        <f t="shared" si="10"/>
        <v>1675.6669999999999</v>
      </c>
      <c r="P25" s="371">
        <f t="shared" si="11"/>
        <v>1724.924</v>
      </c>
      <c r="Q25" s="371">
        <f t="shared" si="12"/>
        <v>1595.6569999999999</v>
      </c>
      <c r="R25" s="371">
        <f t="shared" si="13"/>
        <v>2013.2639999999999</v>
      </c>
      <c r="S25" s="371">
        <f t="shared" si="14"/>
        <v>1939.86</v>
      </c>
      <c r="T25" s="371">
        <f t="shared" si="15"/>
        <v>1862.356</v>
      </c>
      <c r="U25" s="371">
        <f t="shared" si="16"/>
        <v>1974.9639999999999</v>
      </c>
      <c r="V25" s="371">
        <f t="shared" si="17"/>
        <v>1811.665</v>
      </c>
      <c r="W25" s="371">
        <f t="shared" si="18"/>
        <v>1972.7149999999999</v>
      </c>
      <c r="X25" s="371">
        <f t="shared" ref="X25:X26" si="19">B3</f>
        <v>1620.586</v>
      </c>
      <c r="Y25" s="371">
        <f>B2</f>
        <v>1708.9169999999999</v>
      </c>
      <c r="Z25" s="371"/>
    </row>
    <row r="26" spans="1:26">
      <c r="A26" t="s">
        <v>2105</v>
      </c>
      <c r="B26" s="371">
        <v>1705.259</v>
      </c>
      <c r="C26" s="371">
        <v>1875.1220000000001</v>
      </c>
      <c r="D26" s="371">
        <v>1861.6010000000001</v>
      </c>
      <c r="E26" s="371">
        <f t="shared" si="0"/>
        <v>1810</v>
      </c>
      <c r="F26" s="371">
        <f t="shared" si="1"/>
        <v>1703.8969999999999</v>
      </c>
      <c r="G26" s="371">
        <f t="shared" si="2"/>
        <v>1996.712</v>
      </c>
      <c r="H26" s="371">
        <f t="shared" si="3"/>
        <v>1903.309</v>
      </c>
      <c r="I26" s="371">
        <f t="shared" si="4"/>
        <v>1623.0419999999999</v>
      </c>
      <c r="J26" s="371">
        <f t="shared" si="5"/>
        <v>1884.7139999999999</v>
      </c>
      <c r="K26" s="371">
        <f t="shared" si="6"/>
        <v>1955.981</v>
      </c>
      <c r="L26" s="371">
        <f t="shared" si="7"/>
        <v>1891.223</v>
      </c>
      <c r="M26" s="371">
        <f t="shared" si="8"/>
        <v>1557.088</v>
      </c>
      <c r="N26" s="371">
        <f t="shared" si="9"/>
        <v>1614.827</v>
      </c>
      <c r="O26" s="371">
        <f t="shared" si="10"/>
        <v>1813.8630000000001</v>
      </c>
      <c r="P26" s="371">
        <f t="shared" si="11"/>
        <v>1675.6669999999999</v>
      </c>
      <c r="Q26" s="371">
        <f t="shared" si="12"/>
        <v>1724.924</v>
      </c>
      <c r="R26" s="371">
        <f t="shared" si="13"/>
        <v>1595.6569999999999</v>
      </c>
      <c r="S26" s="371">
        <f t="shared" si="14"/>
        <v>2013.2639999999999</v>
      </c>
      <c r="T26" s="371">
        <f t="shared" si="15"/>
        <v>1939.86</v>
      </c>
      <c r="U26" s="371">
        <f t="shared" si="16"/>
        <v>1862.356</v>
      </c>
      <c r="V26" s="371">
        <f t="shared" si="17"/>
        <v>1974.9639999999999</v>
      </c>
      <c r="W26" s="371">
        <f t="shared" si="18"/>
        <v>1811.665</v>
      </c>
      <c r="X26" s="371">
        <f t="shared" si="19"/>
        <v>1972.7149999999999</v>
      </c>
      <c r="Y26" s="371">
        <f>B3</f>
        <v>1620.586</v>
      </c>
      <c r="Z26" s="371">
        <f>B2</f>
        <v>1708.9169999999999</v>
      </c>
    </row>
    <row r="29" spans="1:26">
      <c r="B29">
        <v>0</v>
      </c>
      <c r="C29">
        <v>1</v>
      </c>
      <c r="D29">
        <v>2</v>
      </c>
      <c r="E29">
        <v>3</v>
      </c>
      <c r="F29">
        <v>4</v>
      </c>
      <c r="G29">
        <v>5</v>
      </c>
      <c r="H29">
        <v>6</v>
      </c>
      <c r="I29">
        <v>7</v>
      </c>
      <c r="J29">
        <v>8</v>
      </c>
      <c r="K29">
        <v>9</v>
      </c>
      <c r="L29">
        <v>10</v>
      </c>
      <c r="M29">
        <v>11</v>
      </c>
      <c r="N29">
        <v>12</v>
      </c>
      <c r="O29">
        <v>13</v>
      </c>
      <c r="P29">
        <v>14</v>
      </c>
      <c r="Q29">
        <v>15</v>
      </c>
      <c r="R29">
        <v>16</v>
      </c>
      <c r="S29">
        <v>17</v>
      </c>
      <c r="T29">
        <v>18</v>
      </c>
      <c r="U29">
        <v>19</v>
      </c>
      <c r="V29">
        <v>20</v>
      </c>
      <c r="W29">
        <v>21</v>
      </c>
      <c r="X29">
        <v>22</v>
      </c>
      <c r="Y29">
        <v>23</v>
      </c>
      <c r="Z29">
        <v>24</v>
      </c>
    </row>
    <row r="30" spans="1:26">
      <c r="B30">
        <f>CORREL($B$2:$B$26,B2:B26)</f>
        <v>1</v>
      </c>
      <c r="C30" s="371">
        <f>CORREL($B$2:$B$26,C2:C26)</f>
        <v>6.4039369999066217E-2</v>
      </c>
      <c r="D30" s="371">
        <f>CORREL($B$2:$B$26,D2:D26)</f>
        <v>-0.16058848351814584</v>
      </c>
      <c r="E30" s="371">
        <f t="shared" ref="E30:Z30" si="20">CORREL($B$2:$B$26,E2:E26)</f>
        <v>-3.0010351355066801E-3</v>
      </c>
      <c r="F30" s="371">
        <f t="shared" si="20"/>
        <v>0.18415042688245639</v>
      </c>
      <c r="G30" s="371">
        <f t="shared" si="20"/>
        <v>-9.9376984852891995E-2</v>
      </c>
      <c r="H30" s="371">
        <f t="shared" si="20"/>
        <v>-0.82738250423982462</v>
      </c>
      <c r="I30" s="371">
        <f t="shared" si="20"/>
        <v>-4.5143982779476961E-2</v>
      </c>
      <c r="J30" s="371">
        <f t="shared" si="20"/>
        <v>6.1538254360682255E-2</v>
      </c>
      <c r="K30" s="371">
        <f t="shared" si="20"/>
        <v>3.1027787362780605E-2</v>
      </c>
      <c r="L30" s="371">
        <f t="shared" si="20"/>
        <v>-0.30950304506006698</v>
      </c>
      <c r="M30" s="371">
        <f t="shared" si="20"/>
        <v>-1.2300391055373325E-2</v>
      </c>
      <c r="N30" s="371">
        <f t="shared" si="20"/>
        <v>0.66135101424993936</v>
      </c>
      <c r="O30" s="371">
        <f t="shared" si="20"/>
        <v>-1.2563272440064851E-2</v>
      </c>
      <c r="P30" s="371">
        <f t="shared" si="20"/>
        <v>-8.4855192270378257E-2</v>
      </c>
      <c r="Q30" s="371">
        <f t="shared" si="20"/>
        <v>-0.1881760331284254</v>
      </c>
      <c r="R30" s="371">
        <f t="shared" si="20"/>
        <v>0.441279768601816</v>
      </c>
      <c r="S30" s="371">
        <f t="shared" si="20"/>
        <v>0.17505930745330098</v>
      </c>
      <c r="T30" s="371">
        <f t="shared" si="20"/>
        <v>-0.79760807921983001</v>
      </c>
      <c r="U30" s="371">
        <f t="shared" si="20"/>
        <v>6.4884334431645749E-2</v>
      </c>
      <c r="V30" s="371">
        <f t="shared" si="20"/>
        <v>5.1419215870275259E-2</v>
      </c>
      <c r="W30" s="371">
        <f t="shared" si="20"/>
        <v>2.9323428672723462E-2</v>
      </c>
      <c r="X30" s="371">
        <f t="shared" si="20"/>
        <v>-0.98527882746669215</v>
      </c>
      <c r="Y30" s="371">
        <f t="shared" si="20"/>
        <v>1.0000000000000002</v>
      </c>
      <c r="Z30" s="371" t="e">
        <f t="shared" si="20"/>
        <v>#DIV/0!</v>
      </c>
    </row>
    <row r="32" spans="1:26" ht="21.75">
      <c r="P32" s="177" t="s">
        <v>2268</v>
      </c>
    </row>
    <row r="33" spans="16:16">
      <c r="P33" s="129"/>
    </row>
    <row r="34" spans="16:16">
      <c r="P34" s="150" t="s">
        <v>2269</v>
      </c>
    </row>
    <row r="35" spans="16:16">
      <c r="P35" s="150" t="s">
        <v>2270</v>
      </c>
    </row>
    <row r="37" spans="16:16" ht="21.75">
      <c r="P37" s="177" t="s">
        <v>2271</v>
      </c>
    </row>
    <row r="38" spans="16:16">
      <c r="P38" s="129"/>
    </row>
    <row r="39" spans="16:16">
      <c r="P39" s="150" t="s">
        <v>2272</v>
      </c>
    </row>
    <row r="40" spans="16:16">
      <c r="P40" s="150" t="s">
        <v>2273</v>
      </c>
    </row>
    <row r="42" spans="16:16" ht="21.75">
      <c r="P42" s="177" t="s">
        <v>2274</v>
      </c>
    </row>
    <row r="43" spans="16:16">
      <c r="P43" s="129"/>
    </row>
    <row r="44" spans="16:16">
      <c r="P44" s="150" t="s">
        <v>2275</v>
      </c>
    </row>
    <row r="45" spans="16:16">
      <c r="P45" s="150" t="s">
        <v>2276</v>
      </c>
    </row>
    <row r="47" spans="16:16" ht="21.75">
      <c r="P47" s="177" t="s">
        <v>2277</v>
      </c>
    </row>
    <row r="48" spans="16:16">
      <c r="P48" s="129"/>
    </row>
    <row r="49" spans="16:16">
      <c r="P49" s="150" t="s">
        <v>2278</v>
      </c>
    </row>
    <row r="50" spans="16:16">
      <c r="P50" s="150" t="s">
        <v>2279</v>
      </c>
    </row>
    <row r="52" spans="16:16" ht="21.75">
      <c r="P52" s="177" t="s">
        <v>1684</v>
      </c>
    </row>
    <row r="54" spans="16:16">
      <c r="P54" s="127" t="s">
        <v>2280</v>
      </c>
    </row>
    <row r="83" spans="13:13">
      <c r="M83" s="228" t="s">
        <v>2282</v>
      </c>
    </row>
    <row r="84" spans="13:13" ht="20.25">
      <c r="M84" s="375" t="s">
        <v>2283</v>
      </c>
    </row>
    <row r="85" spans="13:13">
      <c r="M85" s="356" t="s">
        <v>2284</v>
      </c>
    </row>
    <row r="86" spans="13:13">
      <c r="M86" s="356" t="s">
        <v>2285</v>
      </c>
    </row>
  </sheetData>
  <phoneticPr fontId="5" type="noConversion"/>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dimension ref="A1:X141"/>
  <sheetViews>
    <sheetView zoomScale="85" zoomScaleNormal="85" workbookViewId="0">
      <pane ySplit="9075" topLeftCell="A114"/>
      <selection activeCell="AD21" sqref="AD21"/>
      <selection pane="bottomLeft" activeCell="Q117" sqref="Q117"/>
    </sheetView>
  </sheetViews>
  <sheetFormatPr defaultRowHeight="16.5"/>
  <cols>
    <col min="1" max="1" width="11.125" style="372" bestFit="1" customWidth="1"/>
    <col min="2" max="16384" width="9" style="372"/>
  </cols>
  <sheetData>
    <row r="1" spans="1:24">
      <c r="A1" s="372" t="s">
        <v>2281</v>
      </c>
      <c r="L1" s="372">
        <v>0</v>
      </c>
      <c r="M1" s="372">
        <v>1</v>
      </c>
      <c r="N1" s="372">
        <v>2</v>
      </c>
      <c r="O1" s="372">
        <v>3</v>
      </c>
      <c r="P1" s="372">
        <v>4</v>
      </c>
      <c r="Q1" s="372">
        <v>5</v>
      </c>
      <c r="R1" s="372">
        <v>6</v>
      </c>
      <c r="S1" s="372">
        <v>7</v>
      </c>
      <c r="T1" s="372">
        <v>8</v>
      </c>
      <c r="U1" s="372">
        <v>9</v>
      </c>
      <c r="V1" s="372">
        <v>10</v>
      </c>
      <c r="W1" s="372">
        <v>11</v>
      </c>
      <c r="X1" s="372">
        <v>12</v>
      </c>
    </row>
    <row r="2" spans="1:24">
      <c r="A2" s="373">
        <v>33239</v>
      </c>
      <c r="B2" s="374">
        <v>19.032747157922099</v>
      </c>
      <c r="L2" s="372">
        <f>CORREL($B$2:$B$124,B2:B124)</f>
        <v>1.0000000000000002</v>
      </c>
      <c r="M2" s="372">
        <f t="shared" ref="M2:X2" si="0">CORREL($B$2:$B$124,C2:C124)</f>
        <v>0.60433816192492895</v>
      </c>
      <c r="N2" s="372">
        <f t="shared" si="0"/>
        <v>0.45037915771442438</v>
      </c>
      <c r="O2" s="372">
        <f t="shared" si="0"/>
        <v>0.33859952579361569</v>
      </c>
      <c r="P2" s="372">
        <f t="shared" si="0"/>
        <v>0.25802675400027714</v>
      </c>
      <c r="Q2" s="372">
        <f t="shared" si="0"/>
        <v>0.22083423320696294</v>
      </c>
      <c r="R2" s="372">
        <f t="shared" si="0"/>
        <v>0.16393464015520534</v>
      </c>
      <c r="S2" s="372">
        <f t="shared" si="0"/>
        <v>0.18370531454465347</v>
      </c>
      <c r="T2" s="372">
        <f t="shared" si="0"/>
        <v>0.18289631555051786</v>
      </c>
      <c r="U2" s="372">
        <f t="shared" si="0"/>
        <v>0.18233399513832568</v>
      </c>
      <c r="V2" s="372">
        <f t="shared" si="0"/>
        <v>0.11864914885263421</v>
      </c>
      <c r="W2" s="372">
        <f t="shared" si="0"/>
        <v>0.13703759765275536</v>
      </c>
      <c r="X2" s="372">
        <f t="shared" si="0"/>
        <v>0.10008537985822999</v>
      </c>
    </row>
    <row r="3" spans="1:24">
      <c r="A3" s="373">
        <v>33270</v>
      </c>
      <c r="B3" s="374">
        <v>-19.078791982149099</v>
      </c>
      <c r="C3" s="372">
        <f>B2</f>
        <v>19.032747157922099</v>
      </c>
    </row>
    <row r="4" spans="1:24">
      <c r="A4" s="373">
        <v>33298</v>
      </c>
      <c r="B4" s="374">
        <v>36.641577968691301</v>
      </c>
      <c r="C4" s="372">
        <f t="shared" ref="C4:C67" si="1">B3</f>
        <v>-19.078791982149099</v>
      </c>
      <c r="D4" s="372">
        <f>B2</f>
        <v>19.032747157922099</v>
      </c>
    </row>
    <row r="5" spans="1:24">
      <c r="A5" s="373">
        <v>33329</v>
      </c>
      <c r="B5" s="374">
        <v>-118.28031505907001</v>
      </c>
      <c r="C5" s="372">
        <f t="shared" si="1"/>
        <v>36.641577968691301</v>
      </c>
      <c r="D5" s="372">
        <f t="shared" ref="D5:D68" si="2">B3</f>
        <v>-19.078791982149099</v>
      </c>
      <c r="E5" s="372">
        <f>B2</f>
        <v>19.032747157922099</v>
      </c>
    </row>
    <row r="6" spans="1:24">
      <c r="A6" s="373">
        <v>33359</v>
      </c>
      <c r="B6" s="374">
        <v>18.448736078505299</v>
      </c>
      <c r="C6" s="372">
        <f t="shared" si="1"/>
        <v>-118.28031505907001</v>
      </c>
      <c r="D6" s="372">
        <f t="shared" si="2"/>
        <v>36.641577968691301</v>
      </c>
      <c r="E6" s="372">
        <f t="shared" ref="E6:E69" si="3">B3</f>
        <v>-19.078791982149099</v>
      </c>
      <c r="F6" s="372">
        <f>B2</f>
        <v>19.032747157922099</v>
      </c>
    </row>
    <row r="7" spans="1:24">
      <c r="A7" s="373">
        <v>33390</v>
      </c>
      <c r="B7" s="374">
        <v>-42.836512783925997</v>
      </c>
      <c r="C7" s="372">
        <f t="shared" si="1"/>
        <v>18.448736078505299</v>
      </c>
      <c r="D7" s="372">
        <f t="shared" si="2"/>
        <v>-118.28031505907001</v>
      </c>
      <c r="E7" s="372">
        <f t="shared" si="3"/>
        <v>36.641577968691301</v>
      </c>
      <c r="F7" s="372">
        <f t="shared" ref="F7:F70" si="4">B3</f>
        <v>-19.078791982149099</v>
      </c>
      <c r="G7" s="372">
        <f>B2</f>
        <v>19.032747157922099</v>
      </c>
    </row>
    <row r="8" spans="1:24">
      <c r="A8" s="373">
        <v>33420</v>
      </c>
      <c r="B8" s="374">
        <v>-70.638861646355707</v>
      </c>
      <c r="C8" s="372">
        <f t="shared" si="1"/>
        <v>-42.836512783925997</v>
      </c>
      <c r="D8" s="372">
        <f t="shared" si="2"/>
        <v>18.448736078505299</v>
      </c>
      <c r="E8" s="372">
        <f t="shared" si="3"/>
        <v>-118.28031505907001</v>
      </c>
      <c r="F8" s="372">
        <f t="shared" si="4"/>
        <v>36.641577968691301</v>
      </c>
      <c r="G8" s="372">
        <f t="shared" ref="G8:G71" si="5">B3</f>
        <v>-19.078791982149099</v>
      </c>
      <c r="H8" s="372">
        <f>B2</f>
        <v>19.032747157922099</v>
      </c>
    </row>
    <row r="9" spans="1:24">
      <c r="A9" s="373">
        <v>33451</v>
      </c>
      <c r="B9" s="374">
        <v>-42.007510508780101</v>
      </c>
      <c r="C9" s="372">
        <f t="shared" si="1"/>
        <v>-70.638861646355707</v>
      </c>
      <c r="D9" s="372">
        <f t="shared" si="2"/>
        <v>-42.836512783925997</v>
      </c>
      <c r="E9" s="372">
        <f t="shared" si="3"/>
        <v>18.448736078505299</v>
      </c>
      <c r="F9" s="372">
        <f t="shared" si="4"/>
        <v>-118.28031505907001</v>
      </c>
      <c r="G9" s="372">
        <f t="shared" si="5"/>
        <v>36.641577968691301</v>
      </c>
      <c r="H9" s="372">
        <f t="shared" ref="H9:H72" si="6">B3</f>
        <v>-19.078791982149099</v>
      </c>
      <c r="I9" s="372">
        <f>B2</f>
        <v>19.032747157922099</v>
      </c>
    </row>
    <row r="10" spans="1:24">
      <c r="A10" s="373">
        <v>33482</v>
      </c>
      <c r="B10" s="374">
        <v>-132.15615937121001</v>
      </c>
      <c r="C10" s="372">
        <f t="shared" si="1"/>
        <v>-42.007510508780101</v>
      </c>
      <c r="D10" s="372">
        <f t="shared" si="2"/>
        <v>-70.638861646355707</v>
      </c>
      <c r="E10" s="372">
        <f t="shared" si="3"/>
        <v>-42.836512783925997</v>
      </c>
      <c r="F10" s="372">
        <f t="shared" si="4"/>
        <v>18.448736078505299</v>
      </c>
      <c r="G10" s="372">
        <f t="shared" si="5"/>
        <v>-118.28031505907001</v>
      </c>
      <c r="H10" s="372">
        <f t="shared" si="6"/>
        <v>36.641577968691301</v>
      </c>
      <c r="I10" s="372">
        <f t="shared" ref="I10:I73" si="7">B3</f>
        <v>-19.078791982149099</v>
      </c>
      <c r="J10" s="372">
        <f>B2</f>
        <v>19.032747157922099</v>
      </c>
    </row>
    <row r="11" spans="1:24">
      <c r="A11" s="373">
        <v>33512</v>
      </c>
      <c r="B11" s="374">
        <v>-121.17490823363801</v>
      </c>
      <c r="C11" s="372">
        <f t="shared" si="1"/>
        <v>-132.15615937121001</v>
      </c>
      <c r="D11" s="372">
        <f t="shared" si="2"/>
        <v>-42.007510508780101</v>
      </c>
      <c r="E11" s="372">
        <f t="shared" si="3"/>
        <v>-70.638861646355707</v>
      </c>
      <c r="F11" s="372">
        <f t="shared" si="4"/>
        <v>-42.836512783925997</v>
      </c>
      <c r="G11" s="372">
        <f t="shared" si="5"/>
        <v>18.448736078505299</v>
      </c>
      <c r="H11" s="372">
        <f t="shared" si="6"/>
        <v>-118.28031505907001</v>
      </c>
      <c r="I11" s="372">
        <f t="shared" si="7"/>
        <v>36.641577968691301</v>
      </c>
      <c r="J11" s="372">
        <f t="shared" ref="J11:J74" si="8">B3</f>
        <v>-19.078791982149099</v>
      </c>
      <c r="K11" s="372">
        <f>B2</f>
        <v>19.032747157922099</v>
      </c>
    </row>
    <row r="12" spans="1:24">
      <c r="A12" s="373">
        <v>33543</v>
      </c>
      <c r="B12" s="374">
        <v>-155.61915709606799</v>
      </c>
      <c r="C12" s="372">
        <f t="shared" si="1"/>
        <v>-121.17490823363801</v>
      </c>
      <c r="D12" s="372">
        <f t="shared" si="2"/>
        <v>-132.15615937121001</v>
      </c>
      <c r="E12" s="372">
        <f t="shared" si="3"/>
        <v>-42.007510508780101</v>
      </c>
      <c r="F12" s="372">
        <f t="shared" si="4"/>
        <v>-70.638861646355707</v>
      </c>
      <c r="G12" s="372">
        <f t="shared" si="5"/>
        <v>-42.836512783925997</v>
      </c>
      <c r="H12" s="372">
        <f t="shared" si="6"/>
        <v>18.448736078505299</v>
      </c>
      <c r="I12" s="372">
        <f t="shared" si="7"/>
        <v>-118.28031505907001</v>
      </c>
      <c r="J12" s="372">
        <f t="shared" si="8"/>
        <v>36.641577968691301</v>
      </c>
      <c r="K12" s="372">
        <f t="shared" ref="K12:K75" si="9">B3</f>
        <v>-19.078791982149099</v>
      </c>
      <c r="L12" s="372">
        <f>B2</f>
        <v>19.032747157922099</v>
      </c>
    </row>
    <row r="13" spans="1:24">
      <c r="A13" s="373">
        <v>33573</v>
      </c>
      <c r="B13" s="374">
        <v>-48.922705958495499</v>
      </c>
      <c r="C13" s="372">
        <f t="shared" si="1"/>
        <v>-155.61915709606799</v>
      </c>
      <c r="D13" s="372">
        <f t="shared" si="2"/>
        <v>-121.17490823363801</v>
      </c>
      <c r="E13" s="372">
        <f t="shared" si="3"/>
        <v>-132.15615937121001</v>
      </c>
      <c r="F13" s="372">
        <f t="shared" si="4"/>
        <v>-42.007510508780101</v>
      </c>
      <c r="G13" s="372">
        <f t="shared" si="5"/>
        <v>-70.638861646355707</v>
      </c>
      <c r="H13" s="372">
        <f t="shared" si="6"/>
        <v>-42.836512783925997</v>
      </c>
      <c r="I13" s="372">
        <f t="shared" si="7"/>
        <v>18.448736078505299</v>
      </c>
      <c r="J13" s="372">
        <f t="shared" si="8"/>
        <v>-118.28031505907001</v>
      </c>
      <c r="K13" s="372">
        <f t="shared" si="9"/>
        <v>36.641577968691301</v>
      </c>
      <c r="L13" s="372">
        <f t="shared" ref="L13:L76" si="10">B3</f>
        <v>-19.078791982149099</v>
      </c>
      <c r="M13" s="372">
        <f>B2</f>
        <v>19.032747157922099</v>
      </c>
    </row>
    <row r="14" spans="1:24">
      <c r="A14" s="373">
        <v>33604</v>
      </c>
      <c r="B14" s="374">
        <v>0.60797046329321303</v>
      </c>
      <c r="C14" s="372">
        <f t="shared" si="1"/>
        <v>-48.922705958495499</v>
      </c>
      <c r="D14" s="372">
        <f t="shared" si="2"/>
        <v>-155.61915709606799</v>
      </c>
      <c r="E14" s="372">
        <f t="shared" si="3"/>
        <v>-121.17490823363801</v>
      </c>
      <c r="F14" s="372">
        <f t="shared" si="4"/>
        <v>-132.15615937121001</v>
      </c>
      <c r="G14" s="372">
        <f t="shared" si="5"/>
        <v>-42.007510508780101</v>
      </c>
      <c r="H14" s="372">
        <f t="shared" si="6"/>
        <v>-70.638861646355707</v>
      </c>
      <c r="I14" s="372">
        <f t="shared" si="7"/>
        <v>-42.836512783925997</v>
      </c>
      <c r="J14" s="372">
        <f t="shared" si="8"/>
        <v>18.448736078505299</v>
      </c>
      <c r="K14" s="372">
        <f t="shared" si="9"/>
        <v>-118.28031505907001</v>
      </c>
      <c r="L14" s="372">
        <f t="shared" si="10"/>
        <v>36.641577968691301</v>
      </c>
      <c r="M14" s="372">
        <f t="shared" ref="M14:M77" si="11">B3</f>
        <v>-19.078791982149099</v>
      </c>
      <c r="N14" s="372">
        <f>B2</f>
        <v>19.032747157922099</v>
      </c>
    </row>
    <row r="15" spans="1:24">
      <c r="A15" s="373">
        <v>33635</v>
      </c>
      <c r="B15" s="374">
        <v>-8.3694244851283202</v>
      </c>
      <c r="C15" s="372">
        <f t="shared" si="1"/>
        <v>0.60797046329321303</v>
      </c>
      <c r="D15" s="372">
        <f t="shared" si="2"/>
        <v>-48.922705958495499</v>
      </c>
      <c r="E15" s="372">
        <f t="shared" si="3"/>
        <v>-155.61915709606799</v>
      </c>
      <c r="F15" s="372">
        <f t="shared" si="4"/>
        <v>-121.17490823363801</v>
      </c>
      <c r="G15" s="372">
        <f t="shared" si="5"/>
        <v>-132.15615937121001</v>
      </c>
      <c r="H15" s="372">
        <f t="shared" si="6"/>
        <v>-42.007510508780101</v>
      </c>
      <c r="I15" s="372">
        <f t="shared" si="7"/>
        <v>-70.638861646355707</v>
      </c>
      <c r="J15" s="372">
        <f t="shared" si="8"/>
        <v>-42.836512783925997</v>
      </c>
      <c r="K15" s="372">
        <f t="shared" si="9"/>
        <v>18.448736078505299</v>
      </c>
      <c r="L15" s="372">
        <f t="shared" si="10"/>
        <v>-118.28031505907001</v>
      </c>
      <c r="M15" s="372">
        <f t="shared" si="11"/>
        <v>36.641577968691301</v>
      </c>
      <c r="N15" s="372">
        <f t="shared" ref="N15:N78" si="12">B3</f>
        <v>-19.078791982149099</v>
      </c>
      <c r="O15" s="372">
        <f>B2</f>
        <v>19.032747157922099</v>
      </c>
    </row>
    <row r="16" spans="1:24">
      <c r="A16" s="373">
        <v>33664</v>
      </c>
      <c r="B16" s="374">
        <v>27.899089657361799</v>
      </c>
      <c r="C16" s="372">
        <f t="shared" si="1"/>
        <v>-8.3694244851283202</v>
      </c>
      <c r="D16" s="372">
        <f t="shared" si="2"/>
        <v>0.60797046329321303</v>
      </c>
      <c r="E16" s="372">
        <f t="shared" si="3"/>
        <v>-48.922705958495499</v>
      </c>
      <c r="F16" s="372">
        <f t="shared" si="4"/>
        <v>-155.61915709606799</v>
      </c>
      <c r="G16" s="372">
        <f t="shared" si="5"/>
        <v>-121.17490823363801</v>
      </c>
      <c r="H16" s="372">
        <f t="shared" si="6"/>
        <v>-132.15615937121001</v>
      </c>
      <c r="I16" s="372">
        <f t="shared" si="7"/>
        <v>-42.007510508780101</v>
      </c>
      <c r="J16" s="372">
        <f t="shared" si="8"/>
        <v>-70.638861646355707</v>
      </c>
      <c r="K16" s="372">
        <f t="shared" si="9"/>
        <v>-42.836512783925997</v>
      </c>
      <c r="L16" s="372">
        <f t="shared" si="10"/>
        <v>18.448736078505299</v>
      </c>
      <c r="M16" s="372">
        <f t="shared" si="11"/>
        <v>-118.28031505907001</v>
      </c>
      <c r="N16" s="372">
        <f t="shared" si="12"/>
        <v>36.641577968691301</v>
      </c>
      <c r="O16" s="372">
        <f t="shared" ref="O16:O79" si="13">B3</f>
        <v>-19.078791982149099</v>
      </c>
    </row>
    <row r="17" spans="1:15">
      <c r="A17" s="373">
        <v>33695</v>
      </c>
      <c r="B17" s="374">
        <v>97.327340821249805</v>
      </c>
      <c r="C17" s="372">
        <f t="shared" si="1"/>
        <v>27.899089657361799</v>
      </c>
      <c r="D17" s="372">
        <f t="shared" si="2"/>
        <v>-8.3694244851283202</v>
      </c>
      <c r="E17" s="372">
        <f t="shared" si="3"/>
        <v>0.60797046329321303</v>
      </c>
      <c r="F17" s="372">
        <f t="shared" si="4"/>
        <v>-48.922705958495499</v>
      </c>
      <c r="G17" s="372">
        <f t="shared" si="5"/>
        <v>-155.61915709606799</v>
      </c>
      <c r="H17" s="372">
        <f t="shared" si="6"/>
        <v>-121.17490823363801</v>
      </c>
      <c r="I17" s="372">
        <f t="shared" si="7"/>
        <v>-132.15615937121001</v>
      </c>
      <c r="J17" s="372">
        <f t="shared" si="8"/>
        <v>-42.007510508780101</v>
      </c>
      <c r="K17" s="372">
        <f t="shared" si="9"/>
        <v>-70.638861646355707</v>
      </c>
      <c r="L17" s="372">
        <f t="shared" si="10"/>
        <v>-42.836512783925997</v>
      </c>
      <c r="M17" s="372">
        <f t="shared" si="11"/>
        <v>18.448736078505299</v>
      </c>
      <c r="N17" s="372">
        <f t="shared" si="12"/>
        <v>-118.28031505907001</v>
      </c>
      <c r="O17" s="372">
        <f t="shared" si="13"/>
        <v>36.641577968691301</v>
      </c>
    </row>
    <row r="18" spans="1:15">
      <c r="A18" s="373">
        <v>33725</v>
      </c>
      <c r="B18" s="374">
        <v>-1.96746384952507</v>
      </c>
      <c r="C18" s="372">
        <f t="shared" si="1"/>
        <v>97.327340821249805</v>
      </c>
      <c r="D18" s="372">
        <f t="shared" si="2"/>
        <v>27.899089657361799</v>
      </c>
      <c r="E18" s="372">
        <f t="shared" si="3"/>
        <v>-8.3694244851283202</v>
      </c>
      <c r="F18" s="372">
        <f t="shared" si="4"/>
        <v>0.60797046329321303</v>
      </c>
      <c r="G18" s="372">
        <f t="shared" si="5"/>
        <v>-48.922705958495499</v>
      </c>
      <c r="H18" s="372">
        <f t="shared" si="6"/>
        <v>-155.61915709606799</v>
      </c>
      <c r="I18" s="372">
        <f t="shared" si="7"/>
        <v>-121.17490823363801</v>
      </c>
      <c r="J18" s="372">
        <f t="shared" si="8"/>
        <v>-132.15615937121001</v>
      </c>
      <c r="K18" s="372">
        <f t="shared" si="9"/>
        <v>-42.007510508780101</v>
      </c>
      <c r="L18" s="372">
        <f t="shared" si="10"/>
        <v>-70.638861646355707</v>
      </c>
      <c r="M18" s="372">
        <f t="shared" si="11"/>
        <v>-42.836512783925997</v>
      </c>
      <c r="N18" s="372">
        <f t="shared" si="12"/>
        <v>18.448736078505299</v>
      </c>
      <c r="O18" s="372">
        <f t="shared" si="13"/>
        <v>-118.28031505907001</v>
      </c>
    </row>
    <row r="19" spans="1:15">
      <c r="A19" s="373">
        <v>33756</v>
      </c>
      <c r="B19" s="374">
        <v>-213.77456852030599</v>
      </c>
      <c r="C19" s="372">
        <f t="shared" si="1"/>
        <v>-1.96746384952507</v>
      </c>
      <c r="D19" s="372">
        <f t="shared" si="2"/>
        <v>97.327340821249805</v>
      </c>
      <c r="E19" s="372">
        <f t="shared" si="3"/>
        <v>27.899089657361799</v>
      </c>
      <c r="F19" s="372">
        <f t="shared" si="4"/>
        <v>-8.3694244851283202</v>
      </c>
      <c r="G19" s="372">
        <f t="shared" si="5"/>
        <v>0.60797046329321303</v>
      </c>
      <c r="H19" s="372">
        <f t="shared" si="6"/>
        <v>-48.922705958495499</v>
      </c>
      <c r="I19" s="372">
        <f t="shared" si="7"/>
        <v>-155.61915709606799</v>
      </c>
      <c r="J19" s="372">
        <f t="shared" si="8"/>
        <v>-121.17490823363801</v>
      </c>
      <c r="K19" s="372">
        <f t="shared" si="9"/>
        <v>-132.15615937121001</v>
      </c>
      <c r="L19" s="372">
        <f t="shared" si="10"/>
        <v>-42.007510508780101</v>
      </c>
      <c r="M19" s="372">
        <f t="shared" si="11"/>
        <v>-70.638861646355707</v>
      </c>
      <c r="N19" s="372">
        <f t="shared" si="12"/>
        <v>-42.836512783925997</v>
      </c>
      <c r="O19" s="372">
        <f t="shared" si="13"/>
        <v>18.448736078505299</v>
      </c>
    </row>
    <row r="20" spans="1:15">
      <c r="A20" s="373">
        <v>33786</v>
      </c>
      <c r="B20" s="374">
        <v>-40.271773191086297</v>
      </c>
      <c r="C20" s="372">
        <f t="shared" si="1"/>
        <v>-213.77456852030599</v>
      </c>
      <c r="D20" s="372">
        <f t="shared" si="2"/>
        <v>-1.96746384952507</v>
      </c>
      <c r="E20" s="372">
        <f t="shared" si="3"/>
        <v>97.327340821249805</v>
      </c>
      <c r="F20" s="372">
        <f t="shared" si="4"/>
        <v>27.899089657361799</v>
      </c>
      <c r="G20" s="372">
        <f t="shared" si="5"/>
        <v>-8.3694244851283202</v>
      </c>
      <c r="H20" s="372">
        <f t="shared" si="6"/>
        <v>0.60797046329321303</v>
      </c>
      <c r="I20" s="372">
        <f t="shared" si="7"/>
        <v>-48.922705958495499</v>
      </c>
      <c r="J20" s="372">
        <f t="shared" si="8"/>
        <v>-155.61915709606799</v>
      </c>
      <c r="K20" s="372">
        <f t="shared" si="9"/>
        <v>-121.17490823363801</v>
      </c>
      <c r="L20" s="372">
        <f t="shared" si="10"/>
        <v>-132.15615937121001</v>
      </c>
      <c r="M20" s="372">
        <f t="shared" si="11"/>
        <v>-42.007510508780101</v>
      </c>
      <c r="N20" s="372">
        <f t="shared" si="12"/>
        <v>-70.638861646355707</v>
      </c>
      <c r="O20" s="372">
        <f t="shared" si="13"/>
        <v>-42.836512783925997</v>
      </c>
    </row>
    <row r="21" spans="1:15">
      <c r="A21" s="373">
        <v>33817</v>
      </c>
      <c r="B21" s="374">
        <v>6.9007221381389101</v>
      </c>
      <c r="C21" s="372">
        <f t="shared" si="1"/>
        <v>-40.271773191086297</v>
      </c>
      <c r="D21" s="372">
        <f t="shared" si="2"/>
        <v>-213.77456852030599</v>
      </c>
      <c r="E21" s="372">
        <f t="shared" si="3"/>
        <v>-1.96746384952507</v>
      </c>
      <c r="F21" s="372">
        <f t="shared" si="4"/>
        <v>97.327340821249805</v>
      </c>
      <c r="G21" s="372">
        <f t="shared" si="5"/>
        <v>27.899089657361799</v>
      </c>
      <c r="H21" s="372">
        <f t="shared" si="6"/>
        <v>-8.3694244851283202</v>
      </c>
      <c r="I21" s="372">
        <f t="shared" si="7"/>
        <v>0.60797046329321303</v>
      </c>
      <c r="J21" s="372">
        <f t="shared" si="8"/>
        <v>-48.922705958495499</v>
      </c>
      <c r="K21" s="372">
        <f t="shared" si="9"/>
        <v>-155.61915709606799</v>
      </c>
      <c r="L21" s="372">
        <f t="shared" si="10"/>
        <v>-121.17490823363801</v>
      </c>
      <c r="M21" s="372">
        <f t="shared" si="11"/>
        <v>-132.15615937121001</v>
      </c>
      <c r="N21" s="372">
        <f t="shared" si="12"/>
        <v>-42.007510508780101</v>
      </c>
      <c r="O21" s="372">
        <f t="shared" si="13"/>
        <v>-70.638861646355707</v>
      </c>
    </row>
    <row r="22" spans="1:15">
      <c r="A22" s="373">
        <v>33848</v>
      </c>
      <c r="B22" s="374">
        <v>40.086217467358402</v>
      </c>
      <c r="C22" s="372">
        <f t="shared" si="1"/>
        <v>6.9007221381389101</v>
      </c>
      <c r="D22" s="372">
        <f t="shared" si="2"/>
        <v>-40.271773191086297</v>
      </c>
      <c r="E22" s="372">
        <f t="shared" si="3"/>
        <v>-213.77456852030599</v>
      </c>
      <c r="F22" s="372">
        <f t="shared" si="4"/>
        <v>-1.96746384952507</v>
      </c>
      <c r="G22" s="372">
        <f t="shared" si="5"/>
        <v>97.327340821249805</v>
      </c>
      <c r="H22" s="372">
        <f t="shared" si="6"/>
        <v>27.899089657361799</v>
      </c>
      <c r="I22" s="372">
        <f t="shared" si="7"/>
        <v>-8.3694244851283202</v>
      </c>
      <c r="J22" s="372">
        <f t="shared" si="8"/>
        <v>0.60797046329321303</v>
      </c>
      <c r="K22" s="372">
        <f t="shared" si="9"/>
        <v>-48.922705958495499</v>
      </c>
      <c r="L22" s="372">
        <f t="shared" si="10"/>
        <v>-155.61915709606799</v>
      </c>
      <c r="M22" s="372">
        <f t="shared" si="11"/>
        <v>-121.17490823363801</v>
      </c>
      <c r="N22" s="372">
        <f t="shared" si="12"/>
        <v>-132.15615937121001</v>
      </c>
      <c r="O22" s="372">
        <f t="shared" si="13"/>
        <v>-42.007510508780101</v>
      </c>
    </row>
    <row r="23" spans="1:15">
      <c r="A23" s="373">
        <v>33878</v>
      </c>
      <c r="B23" s="374">
        <v>26.4456127965795</v>
      </c>
      <c r="C23" s="372">
        <f t="shared" si="1"/>
        <v>40.086217467358402</v>
      </c>
      <c r="D23" s="372">
        <f t="shared" si="2"/>
        <v>6.9007221381389101</v>
      </c>
      <c r="E23" s="372">
        <f t="shared" si="3"/>
        <v>-40.271773191086297</v>
      </c>
      <c r="F23" s="372">
        <f t="shared" si="4"/>
        <v>-213.77456852030599</v>
      </c>
      <c r="G23" s="372">
        <f t="shared" si="5"/>
        <v>-1.96746384952507</v>
      </c>
      <c r="H23" s="372">
        <f t="shared" si="6"/>
        <v>97.327340821249805</v>
      </c>
      <c r="I23" s="372">
        <f t="shared" si="7"/>
        <v>27.899089657361799</v>
      </c>
      <c r="J23" s="372">
        <f t="shared" si="8"/>
        <v>-8.3694244851283202</v>
      </c>
      <c r="K23" s="372">
        <f t="shared" si="9"/>
        <v>0.60797046329321303</v>
      </c>
      <c r="L23" s="372">
        <f t="shared" si="10"/>
        <v>-48.922705958495499</v>
      </c>
      <c r="M23" s="372">
        <f t="shared" si="11"/>
        <v>-155.61915709606799</v>
      </c>
      <c r="N23" s="372">
        <f t="shared" si="12"/>
        <v>-121.17490823363801</v>
      </c>
      <c r="O23" s="372">
        <f t="shared" si="13"/>
        <v>-132.15615937121001</v>
      </c>
    </row>
    <row r="24" spans="1:15">
      <c r="A24" s="373">
        <v>33909</v>
      </c>
      <c r="B24" s="374">
        <v>91.401508125799793</v>
      </c>
      <c r="C24" s="372">
        <f t="shared" si="1"/>
        <v>26.4456127965795</v>
      </c>
      <c r="D24" s="372">
        <f t="shared" si="2"/>
        <v>40.086217467358402</v>
      </c>
      <c r="E24" s="372">
        <f t="shared" si="3"/>
        <v>6.9007221381389101</v>
      </c>
      <c r="F24" s="372">
        <f t="shared" si="4"/>
        <v>-40.271773191086297</v>
      </c>
      <c r="G24" s="372">
        <f t="shared" si="5"/>
        <v>-213.77456852030599</v>
      </c>
      <c r="H24" s="372">
        <f t="shared" si="6"/>
        <v>-1.96746384952507</v>
      </c>
      <c r="I24" s="372">
        <f t="shared" si="7"/>
        <v>97.327340821249805</v>
      </c>
      <c r="J24" s="372">
        <f t="shared" si="8"/>
        <v>27.899089657361799</v>
      </c>
      <c r="K24" s="372">
        <f t="shared" si="9"/>
        <v>-8.3694244851283202</v>
      </c>
      <c r="L24" s="372">
        <f t="shared" si="10"/>
        <v>0.60797046329321303</v>
      </c>
      <c r="M24" s="372">
        <f t="shared" si="11"/>
        <v>-48.922705958495499</v>
      </c>
      <c r="N24" s="372">
        <f t="shared" si="12"/>
        <v>-155.61915709606799</v>
      </c>
      <c r="O24" s="372">
        <f t="shared" si="13"/>
        <v>-121.17490823363801</v>
      </c>
    </row>
    <row r="25" spans="1:15">
      <c r="A25" s="373">
        <v>33939</v>
      </c>
      <c r="B25" s="374">
        <v>71.965103455022202</v>
      </c>
      <c r="C25" s="372">
        <f t="shared" si="1"/>
        <v>91.401508125799793</v>
      </c>
      <c r="D25" s="372">
        <f t="shared" si="2"/>
        <v>26.4456127965795</v>
      </c>
      <c r="E25" s="372">
        <f t="shared" si="3"/>
        <v>40.086217467358402</v>
      </c>
      <c r="F25" s="372">
        <f t="shared" si="4"/>
        <v>6.9007221381389101</v>
      </c>
      <c r="G25" s="372">
        <f t="shared" si="5"/>
        <v>-40.271773191086297</v>
      </c>
      <c r="H25" s="372">
        <f t="shared" si="6"/>
        <v>-213.77456852030599</v>
      </c>
      <c r="I25" s="372">
        <f t="shared" si="7"/>
        <v>-1.96746384952507</v>
      </c>
      <c r="J25" s="372">
        <f t="shared" si="8"/>
        <v>97.327340821249805</v>
      </c>
      <c r="K25" s="372">
        <f t="shared" si="9"/>
        <v>27.899089657361799</v>
      </c>
      <c r="L25" s="372">
        <f t="shared" si="10"/>
        <v>-8.3694244851283202</v>
      </c>
      <c r="M25" s="372">
        <f t="shared" si="11"/>
        <v>0.60797046329321303</v>
      </c>
      <c r="N25" s="372">
        <f t="shared" si="12"/>
        <v>-48.922705958495499</v>
      </c>
      <c r="O25" s="372">
        <f t="shared" si="13"/>
        <v>-155.61915709606799</v>
      </c>
    </row>
    <row r="26" spans="1:15">
      <c r="A26" s="373">
        <v>33970</v>
      </c>
      <c r="B26" s="374">
        <v>149.21092406846</v>
      </c>
      <c r="C26" s="372">
        <f t="shared" si="1"/>
        <v>71.965103455022202</v>
      </c>
      <c r="D26" s="372">
        <f t="shared" si="2"/>
        <v>91.401508125799793</v>
      </c>
      <c r="E26" s="372">
        <f t="shared" si="3"/>
        <v>26.4456127965795</v>
      </c>
      <c r="F26" s="372">
        <f t="shared" si="4"/>
        <v>40.086217467358402</v>
      </c>
      <c r="G26" s="372">
        <f t="shared" si="5"/>
        <v>6.9007221381389101</v>
      </c>
      <c r="H26" s="372">
        <f t="shared" si="6"/>
        <v>-40.271773191086297</v>
      </c>
      <c r="I26" s="372">
        <f t="shared" si="7"/>
        <v>-213.77456852030599</v>
      </c>
      <c r="J26" s="372">
        <f t="shared" si="8"/>
        <v>-1.96746384952507</v>
      </c>
      <c r="K26" s="372">
        <f t="shared" si="9"/>
        <v>97.327340821249805</v>
      </c>
      <c r="L26" s="372">
        <f t="shared" si="10"/>
        <v>27.899089657361799</v>
      </c>
      <c r="M26" s="372">
        <f t="shared" si="11"/>
        <v>-8.3694244851283202</v>
      </c>
      <c r="N26" s="372">
        <f t="shared" si="12"/>
        <v>0.60797046329321303</v>
      </c>
      <c r="O26" s="372">
        <f t="shared" si="13"/>
        <v>-48.922705958495499</v>
      </c>
    </row>
    <row r="27" spans="1:15">
      <c r="A27" s="373">
        <v>34001</v>
      </c>
      <c r="B27" s="372">
        <v>109.790673311688</v>
      </c>
      <c r="C27" s="372">
        <f t="shared" si="1"/>
        <v>149.21092406846</v>
      </c>
      <c r="D27" s="372">
        <f t="shared" si="2"/>
        <v>71.965103455022202</v>
      </c>
      <c r="E27" s="372">
        <f t="shared" si="3"/>
        <v>91.401508125799793</v>
      </c>
      <c r="F27" s="372">
        <f t="shared" si="4"/>
        <v>26.4456127965795</v>
      </c>
      <c r="G27" s="372">
        <f t="shared" si="5"/>
        <v>40.086217467358402</v>
      </c>
      <c r="H27" s="372">
        <f t="shared" si="6"/>
        <v>6.9007221381389101</v>
      </c>
      <c r="I27" s="372">
        <f t="shared" si="7"/>
        <v>-40.271773191086297</v>
      </c>
      <c r="J27" s="372">
        <f t="shared" si="8"/>
        <v>-213.77456852030599</v>
      </c>
      <c r="K27" s="372">
        <f t="shared" si="9"/>
        <v>-1.96746384952507</v>
      </c>
      <c r="L27" s="372">
        <f t="shared" si="10"/>
        <v>97.327340821249805</v>
      </c>
      <c r="M27" s="372">
        <f t="shared" si="11"/>
        <v>27.899089657361799</v>
      </c>
      <c r="N27" s="372">
        <f t="shared" si="12"/>
        <v>-8.3694244851283202</v>
      </c>
      <c r="O27" s="372">
        <f t="shared" si="13"/>
        <v>0.60797046329321303</v>
      </c>
    </row>
    <row r="28" spans="1:15">
      <c r="A28" s="373">
        <v>34029</v>
      </c>
      <c r="B28" s="372">
        <v>28.640331645828802</v>
      </c>
      <c r="C28" s="372">
        <f t="shared" si="1"/>
        <v>109.790673311688</v>
      </c>
      <c r="D28" s="372">
        <f t="shared" si="2"/>
        <v>149.21092406846</v>
      </c>
      <c r="E28" s="372">
        <f t="shared" si="3"/>
        <v>71.965103455022202</v>
      </c>
      <c r="F28" s="372">
        <f t="shared" si="4"/>
        <v>91.401508125799793</v>
      </c>
      <c r="G28" s="372">
        <f t="shared" si="5"/>
        <v>26.4456127965795</v>
      </c>
      <c r="H28" s="372">
        <f t="shared" si="6"/>
        <v>40.086217467358402</v>
      </c>
      <c r="I28" s="372">
        <f t="shared" si="7"/>
        <v>6.9007221381389101</v>
      </c>
      <c r="J28" s="372">
        <f t="shared" si="8"/>
        <v>-40.271773191086297</v>
      </c>
      <c r="K28" s="372">
        <f t="shared" si="9"/>
        <v>-213.77456852030599</v>
      </c>
      <c r="L28" s="372">
        <f t="shared" si="10"/>
        <v>-1.96746384952507</v>
      </c>
      <c r="M28" s="372">
        <f t="shared" si="11"/>
        <v>97.327340821249805</v>
      </c>
      <c r="N28" s="372">
        <f t="shared" si="12"/>
        <v>27.899089657361799</v>
      </c>
      <c r="O28" s="372">
        <f t="shared" si="13"/>
        <v>-8.3694244851283202</v>
      </c>
    </row>
    <row r="29" spans="1:15">
      <c r="A29" s="373">
        <v>34060</v>
      </c>
      <c r="B29" s="372">
        <v>152.18672700136599</v>
      </c>
      <c r="C29" s="372">
        <f t="shared" si="1"/>
        <v>28.640331645828802</v>
      </c>
      <c r="D29" s="372">
        <f t="shared" si="2"/>
        <v>109.790673311688</v>
      </c>
      <c r="E29" s="372">
        <f t="shared" si="3"/>
        <v>149.21092406846</v>
      </c>
      <c r="F29" s="372">
        <f t="shared" si="4"/>
        <v>71.965103455022202</v>
      </c>
      <c r="G29" s="372">
        <f t="shared" si="5"/>
        <v>91.401508125799793</v>
      </c>
      <c r="H29" s="372">
        <f t="shared" si="6"/>
        <v>26.4456127965795</v>
      </c>
      <c r="I29" s="372">
        <f t="shared" si="7"/>
        <v>40.086217467358402</v>
      </c>
      <c r="J29" s="372">
        <f t="shared" si="8"/>
        <v>6.9007221381389101</v>
      </c>
      <c r="K29" s="372">
        <f t="shared" si="9"/>
        <v>-40.271773191086297</v>
      </c>
      <c r="L29" s="372">
        <f t="shared" si="10"/>
        <v>-213.77456852030599</v>
      </c>
      <c r="M29" s="372">
        <f t="shared" si="11"/>
        <v>-1.96746384952507</v>
      </c>
      <c r="N29" s="372">
        <f t="shared" si="12"/>
        <v>97.327340821249805</v>
      </c>
      <c r="O29" s="372">
        <f t="shared" si="13"/>
        <v>27.899089657361799</v>
      </c>
    </row>
    <row r="30" spans="1:15">
      <c r="A30" s="373">
        <v>34090</v>
      </c>
      <c r="B30" s="372">
        <v>82.843066522241301</v>
      </c>
      <c r="C30" s="372">
        <f t="shared" si="1"/>
        <v>152.18672700136599</v>
      </c>
      <c r="D30" s="372">
        <f t="shared" si="2"/>
        <v>28.640331645828802</v>
      </c>
      <c r="E30" s="372">
        <f t="shared" si="3"/>
        <v>109.790673311688</v>
      </c>
      <c r="F30" s="372">
        <f t="shared" si="4"/>
        <v>149.21092406846</v>
      </c>
      <c r="G30" s="372">
        <f t="shared" si="5"/>
        <v>71.965103455022202</v>
      </c>
      <c r="H30" s="372">
        <f t="shared" si="6"/>
        <v>91.401508125799793</v>
      </c>
      <c r="I30" s="372">
        <f t="shared" si="7"/>
        <v>26.4456127965795</v>
      </c>
      <c r="J30" s="372">
        <f t="shared" si="8"/>
        <v>40.086217467358402</v>
      </c>
      <c r="K30" s="372">
        <f t="shared" si="9"/>
        <v>6.9007221381389101</v>
      </c>
      <c r="L30" s="372">
        <f t="shared" si="10"/>
        <v>-40.271773191086297</v>
      </c>
      <c r="M30" s="372">
        <f t="shared" si="11"/>
        <v>-213.77456852030599</v>
      </c>
      <c r="N30" s="372">
        <f t="shared" si="12"/>
        <v>-1.96746384952507</v>
      </c>
      <c r="O30" s="372">
        <f t="shared" si="13"/>
        <v>97.327340821249805</v>
      </c>
    </row>
    <row r="31" spans="1:15">
      <c r="A31" s="373">
        <v>34121</v>
      </c>
      <c r="B31" s="372">
        <v>96.463106043109505</v>
      </c>
      <c r="C31" s="372">
        <f t="shared" si="1"/>
        <v>82.843066522241301</v>
      </c>
      <c r="D31" s="372">
        <f t="shared" si="2"/>
        <v>152.18672700136599</v>
      </c>
      <c r="E31" s="372">
        <f t="shared" si="3"/>
        <v>28.640331645828802</v>
      </c>
      <c r="F31" s="372">
        <f t="shared" si="4"/>
        <v>109.790673311688</v>
      </c>
      <c r="G31" s="372">
        <f t="shared" si="5"/>
        <v>149.21092406846</v>
      </c>
      <c r="H31" s="372">
        <f t="shared" si="6"/>
        <v>71.965103455022202</v>
      </c>
      <c r="I31" s="372">
        <f t="shared" si="7"/>
        <v>91.401508125799793</v>
      </c>
      <c r="J31" s="372">
        <f t="shared" si="8"/>
        <v>26.4456127965795</v>
      </c>
      <c r="K31" s="372">
        <f t="shared" si="9"/>
        <v>40.086217467358402</v>
      </c>
      <c r="L31" s="372">
        <f t="shared" si="10"/>
        <v>6.9007221381389101</v>
      </c>
      <c r="M31" s="372">
        <f t="shared" si="11"/>
        <v>-40.271773191086297</v>
      </c>
      <c r="N31" s="372">
        <f t="shared" si="12"/>
        <v>-213.77456852030599</v>
      </c>
      <c r="O31" s="372">
        <f t="shared" si="13"/>
        <v>-1.96746384952507</v>
      </c>
    </row>
    <row r="32" spans="1:15">
      <c r="A32" s="373">
        <v>34151</v>
      </c>
      <c r="B32" s="372">
        <v>38.852045563979303</v>
      </c>
      <c r="C32" s="372">
        <f t="shared" si="1"/>
        <v>96.463106043109505</v>
      </c>
      <c r="D32" s="372">
        <f t="shared" si="2"/>
        <v>82.843066522241301</v>
      </c>
      <c r="E32" s="372">
        <f t="shared" si="3"/>
        <v>152.18672700136599</v>
      </c>
      <c r="F32" s="372">
        <f t="shared" si="4"/>
        <v>28.640331645828802</v>
      </c>
      <c r="G32" s="372">
        <f t="shared" si="5"/>
        <v>109.790673311688</v>
      </c>
      <c r="H32" s="372">
        <f t="shared" si="6"/>
        <v>149.21092406846</v>
      </c>
      <c r="I32" s="372">
        <f t="shared" si="7"/>
        <v>71.965103455022202</v>
      </c>
      <c r="J32" s="372">
        <f t="shared" si="8"/>
        <v>91.401508125799793</v>
      </c>
      <c r="K32" s="372">
        <f t="shared" si="9"/>
        <v>26.4456127965795</v>
      </c>
      <c r="L32" s="372">
        <f t="shared" si="10"/>
        <v>40.086217467358402</v>
      </c>
      <c r="M32" s="372">
        <f t="shared" si="11"/>
        <v>6.9007221381389101</v>
      </c>
      <c r="N32" s="372">
        <f t="shared" si="12"/>
        <v>-40.271773191086297</v>
      </c>
      <c r="O32" s="372">
        <f t="shared" si="13"/>
        <v>-213.77456852030599</v>
      </c>
    </row>
    <row r="33" spans="1:15">
      <c r="A33" s="373">
        <v>34182</v>
      </c>
      <c r="B33" s="372">
        <v>54.321685084853897</v>
      </c>
      <c r="C33" s="372">
        <f t="shared" si="1"/>
        <v>38.852045563979303</v>
      </c>
      <c r="D33" s="372">
        <f t="shared" si="2"/>
        <v>96.463106043109505</v>
      </c>
      <c r="E33" s="372">
        <f t="shared" si="3"/>
        <v>82.843066522241301</v>
      </c>
      <c r="F33" s="372">
        <f t="shared" si="4"/>
        <v>152.18672700136599</v>
      </c>
      <c r="G33" s="372">
        <f t="shared" si="5"/>
        <v>28.640331645828802</v>
      </c>
      <c r="H33" s="372">
        <f t="shared" si="6"/>
        <v>109.790673311688</v>
      </c>
      <c r="I33" s="372">
        <f t="shared" si="7"/>
        <v>149.21092406846</v>
      </c>
      <c r="J33" s="372">
        <f t="shared" si="8"/>
        <v>71.965103455022202</v>
      </c>
      <c r="K33" s="372">
        <f t="shared" si="9"/>
        <v>91.401508125799793</v>
      </c>
      <c r="L33" s="372">
        <f t="shared" si="10"/>
        <v>26.4456127965795</v>
      </c>
      <c r="M33" s="372">
        <f t="shared" si="11"/>
        <v>40.086217467358402</v>
      </c>
      <c r="N33" s="372">
        <f t="shared" si="12"/>
        <v>6.9007221381389101</v>
      </c>
      <c r="O33" s="372">
        <f t="shared" si="13"/>
        <v>-40.271773191086297</v>
      </c>
    </row>
    <row r="34" spans="1:15">
      <c r="A34" s="373">
        <v>34213</v>
      </c>
      <c r="B34" s="372">
        <v>55.538324605723297</v>
      </c>
      <c r="C34" s="372">
        <f t="shared" si="1"/>
        <v>54.321685084853897</v>
      </c>
      <c r="D34" s="372">
        <f t="shared" si="2"/>
        <v>38.852045563979303</v>
      </c>
      <c r="E34" s="372">
        <f t="shared" si="3"/>
        <v>96.463106043109505</v>
      </c>
      <c r="F34" s="372">
        <f t="shared" si="4"/>
        <v>82.843066522241301</v>
      </c>
      <c r="G34" s="372">
        <f t="shared" si="5"/>
        <v>152.18672700136599</v>
      </c>
      <c r="H34" s="372">
        <f t="shared" si="6"/>
        <v>28.640331645828802</v>
      </c>
      <c r="I34" s="372">
        <f t="shared" si="7"/>
        <v>109.790673311688</v>
      </c>
      <c r="J34" s="372">
        <f t="shared" si="8"/>
        <v>149.21092406846</v>
      </c>
      <c r="K34" s="372">
        <f t="shared" si="9"/>
        <v>71.965103455022202</v>
      </c>
      <c r="L34" s="372">
        <f t="shared" si="10"/>
        <v>91.401508125799793</v>
      </c>
      <c r="M34" s="372">
        <f t="shared" si="11"/>
        <v>26.4456127965795</v>
      </c>
      <c r="N34" s="372">
        <f t="shared" si="12"/>
        <v>40.086217467358402</v>
      </c>
      <c r="O34" s="372">
        <f t="shared" si="13"/>
        <v>6.9007221381389101</v>
      </c>
    </row>
    <row r="35" spans="1:15">
      <c r="A35" s="373">
        <v>34243</v>
      </c>
      <c r="B35" s="372">
        <v>14.3228641265943</v>
      </c>
      <c r="C35" s="372">
        <f t="shared" si="1"/>
        <v>55.538324605723297</v>
      </c>
      <c r="D35" s="372">
        <f t="shared" si="2"/>
        <v>54.321685084853897</v>
      </c>
      <c r="E35" s="372">
        <f t="shared" si="3"/>
        <v>38.852045563979303</v>
      </c>
      <c r="F35" s="372">
        <f t="shared" si="4"/>
        <v>96.463106043109505</v>
      </c>
      <c r="G35" s="372">
        <f t="shared" si="5"/>
        <v>82.843066522241301</v>
      </c>
      <c r="H35" s="372">
        <f t="shared" si="6"/>
        <v>152.18672700136599</v>
      </c>
      <c r="I35" s="372">
        <f t="shared" si="7"/>
        <v>28.640331645828802</v>
      </c>
      <c r="J35" s="372">
        <f t="shared" si="8"/>
        <v>109.790673311688</v>
      </c>
      <c r="K35" s="372">
        <f t="shared" si="9"/>
        <v>149.21092406846</v>
      </c>
      <c r="L35" s="372">
        <f t="shared" si="10"/>
        <v>71.965103455022202</v>
      </c>
      <c r="M35" s="372">
        <f t="shared" si="11"/>
        <v>91.401508125799793</v>
      </c>
      <c r="N35" s="372">
        <f t="shared" si="12"/>
        <v>26.4456127965795</v>
      </c>
      <c r="O35" s="372">
        <f t="shared" si="13"/>
        <v>40.086217467358402</v>
      </c>
    </row>
    <row r="36" spans="1:15">
      <c r="A36" s="373">
        <v>34274</v>
      </c>
      <c r="B36" s="372">
        <v>-6.2300963525360604</v>
      </c>
      <c r="C36" s="372">
        <f t="shared" si="1"/>
        <v>14.3228641265943</v>
      </c>
      <c r="D36" s="372">
        <f t="shared" si="2"/>
        <v>55.538324605723297</v>
      </c>
      <c r="E36" s="372">
        <f t="shared" si="3"/>
        <v>54.321685084853897</v>
      </c>
      <c r="F36" s="372">
        <f t="shared" si="4"/>
        <v>38.852045563979303</v>
      </c>
      <c r="G36" s="372">
        <f t="shared" si="5"/>
        <v>96.463106043109505</v>
      </c>
      <c r="H36" s="372">
        <f t="shared" si="6"/>
        <v>82.843066522241301</v>
      </c>
      <c r="I36" s="372">
        <f t="shared" si="7"/>
        <v>152.18672700136599</v>
      </c>
      <c r="J36" s="372">
        <f t="shared" si="8"/>
        <v>28.640331645828802</v>
      </c>
      <c r="K36" s="372">
        <f t="shared" si="9"/>
        <v>109.790673311688</v>
      </c>
      <c r="L36" s="372">
        <f t="shared" si="10"/>
        <v>149.21092406846</v>
      </c>
      <c r="M36" s="372">
        <f t="shared" si="11"/>
        <v>71.965103455022202</v>
      </c>
      <c r="N36" s="372">
        <f t="shared" si="12"/>
        <v>91.401508125799793</v>
      </c>
      <c r="O36" s="372">
        <f t="shared" si="13"/>
        <v>26.4456127965795</v>
      </c>
    </row>
    <row r="37" spans="1:15">
      <c r="A37" s="373">
        <v>34304</v>
      </c>
      <c r="B37" s="372">
        <v>-26.730356831663801</v>
      </c>
      <c r="C37" s="372">
        <f t="shared" si="1"/>
        <v>-6.2300963525360604</v>
      </c>
      <c r="D37" s="372">
        <f t="shared" si="2"/>
        <v>14.3228641265943</v>
      </c>
      <c r="E37" s="372">
        <f t="shared" si="3"/>
        <v>55.538324605723297</v>
      </c>
      <c r="F37" s="372">
        <f t="shared" si="4"/>
        <v>54.321685084853897</v>
      </c>
      <c r="G37" s="372">
        <f t="shared" si="5"/>
        <v>38.852045563979303</v>
      </c>
      <c r="H37" s="372">
        <f t="shared" si="6"/>
        <v>96.463106043109505</v>
      </c>
      <c r="I37" s="372">
        <f t="shared" si="7"/>
        <v>82.843066522241301</v>
      </c>
      <c r="J37" s="372">
        <f t="shared" si="8"/>
        <v>152.18672700136599</v>
      </c>
      <c r="K37" s="372">
        <f t="shared" si="9"/>
        <v>28.640331645828802</v>
      </c>
      <c r="L37" s="372">
        <f t="shared" si="10"/>
        <v>109.790673311688</v>
      </c>
      <c r="M37" s="372">
        <f t="shared" si="11"/>
        <v>149.21092406846</v>
      </c>
      <c r="N37" s="372">
        <f t="shared" si="12"/>
        <v>71.965103455022202</v>
      </c>
      <c r="O37" s="372">
        <f t="shared" si="13"/>
        <v>91.401508125799793</v>
      </c>
    </row>
    <row r="38" spans="1:15">
      <c r="A38" s="373">
        <v>34335</v>
      </c>
      <c r="B38" s="372">
        <v>47.993607973424297</v>
      </c>
      <c r="C38" s="372">
        <f t="shared" si="1"/>
        <v>-26.730356831663801</v>
      </c>
      <c r="D38" s="372">
        <f t="shared" si="2"/>
        <v>-6.2300963525360604</v>
      </c>
      <c r="E38" s="372">
        <f t="shared" si="3"/>
        <v>14.3228641265943</v>
      </c>
      <c r="F38" s="372">
        <f t="shared" si="4"/>
        <v>55.538324605723297</v>
      </c>
      <c r="G38" s="372">
        <f t="shared" si="5"/>
        <v>54.321685084853897</v>
      </c>
      <c r="H38" s="372">
        <f t="shared" si="6"/>
        <v>38.852045563979303</v>
      </c>
      <c r="I38" s="372">
        <f t="shared" si="7"/>
        <v>96.463106043109505</v>
      </c>
      <c r="J38" s="372">
        <f t="shared" si="8"/>
        <v>82.843066522241301</v>
      </c>
      <c r="K38" s="372">
        <f t="shared" si="9"/>
        <v>152.18672700136599</v>
      </c>
      <c r="L38" s="372">
        <f t="shared" si="10"/>
        <v>28.640331645828802</v>
      </c>
      <c r="M38" s="372">
        <f t="shared" si="11"/>
        <v>109.790673311688</v>
      </c>
      <c r="N38" s="372">
        <f t="shared" si="12"/>
        <v>149.21092406846</v>
      </c>
      <c r="O38" s="372">
        <f t="shared" si="13"/>
        <v>71.965103455022202</v>
      </c>
    </row>
    <row r="39" spans="1:15">
      <c r="A39" s="373">
        <v>34366</v>
      </c>
      <c r="B39" s="372">
        <v>104.43350140830201</v>
      </c>
      <c r="C39" s="372">
        <f t="shared" si="1"/>
        <v>47.993607973424297</v>
      </c>
      <c r="D39" s="372">
        <f t="shared" si="2"/>
        <v>-26.730356831663801</v>
      </c>
      <c r="E39" s="372">
        <f t="shared" si="3"/>
        <v>-6.2300963525360604</v>
      </c>
      <c r="F39" s="372">
        <f t="shared" si="4"/>
        <v>14.3228641265943</v>
      </c>
      <c r="G39" s="372">
        <f t="shared" si="5"/>
        <v>55.538324605723297</v>
      </c>
      <c r="H39" s="372">
        <f t="shared" si="6"/>
        <v>54.321685084853897</v>
      </c>
      <c r="I39" s="372">
        <f t="shared" si="7"/>
        <v>38.852045563979303</v>
      </c>
      <c r="J39" s="372">
        <f t="shared" si="8"/>
        <v>96.463106043109505</v>
      </c>
      <c r="K39" s="372">
        <f t="shared" si="9"/>
        <v>82.843066522241301</v>
      </c>
      <c r="L39" s="372">
        <f t="shared" si="10"/>
        <v>152.18672700136599</v>
      </c>
      <c r="M39" s="372">
        <f t="shared" si="11"/>
        <v>28.640331645828802</v>
      </c>
      <c r="N39" s="372">
        <f t="shared" si="12"/>
        <v>109.790673311688</v>
      </c>
      <c r="O39" s="372">
        <f t="shared" si="13"/>
        <v>149.21092406846</v>
      </c>
    </row>
    <row r="40" spans="1:15">
      <c r="A40" s="373">
        <v>34394</v>
      </c>
      <c r="B40" s="372">
        <v>132.33130393409101</v>
      </c>
      <c r="C40" s="372">
        <f t="shared" si="1"/>
        <v>104.43350140830201</v>
      </c>
      <c r="D40" s="372">
        <f t="shared" si="2"/>
        <v>47.993607973424297</v>
      </c>
      <c r="E40" s="372">
        <f t="shared" si="3"/>
        <v>-26.730356831663801</v>
      </c>
      <c r="F40" s="372">
        <f t="shared" si="4"/>
        <v>-6.2300963525360604</v>
      </c>
      <c r="G40" s="372">
        <f t="shared" si="5"/>
        <v>14.3228641265943</v>
      </c>
      <c r="H40" s="372">
        <f t="shared" si="6"/>
        <v>55.538324605723297</v>
      </c>
      <c r="I40" s="372">
        <f t="shared" si="7"/>
        <v>54.321685084853897</v>
      </c>
      <c r="J40" s="372">
        <f t="shared" si="8"/>
        <v>38.852045563979303</v>
      </c>
      <c r="K40" s="372">
        <f t="shared" si="9"/>
        <v>96.463106043109505</v>
      </c>
      <c r="L40" s="372">
        <f t="shared" si="10"/>
        <v>82.843066522241301</v>
      </c>
      <c r="M40" s="372">
        <f t="shared" si="11"/>
        <v>152.18672700136599</v>
      </c>
      <c r="N40" s="372">
        <f t="shared" si="12"/>
        <v>28.640331645828802</v>
      </c>
      <c r="O40" s="372">
        <f t="shared" si="13"/>
        <v>109.790673311688</v>
      </c>
    </row>
    <row r="41" spans="1:15">
      <c r="A41" s="373">
        <v>34425</v>
      </c>
      <c r="B41" s="372">
        <v>65.334843481278995</v>
      </c>
      <c r="C41" s="372">
        <f t="shared" si="1"/>
        <v>132.33130393409101</v>
      </c>
      <c r="D41" s="372">
        <f t="shared" si="2"/>
        <v>104.43350140830201</v>
      </c>
      <c r="E41" s="372">
        <f t="shared" si="3"/>
        <v>47.993607973424297</v>
      </c>
      <c r="F41" s="372">
        <f t="shared" si="4"/>
        <v>-26.730356831663801</v>
      </c>
      <c r="G41" s="372">
        <f t="shared" si="5"/>
        <v>-6.2300963525360604</v>
      </c>
      <c r="H41" s="372">
        <f t="shared" si="6"/>
        <v>14.3228641265943</v>
      </c>
      <c r="I41" s="372">
        <f t="shared" si="7"/>
        <v>55.538324605723297</v>
      </c>
      <c r="J41" s="372">
        <f t="shared" si="8"/>
        <v>54.321685084853897</v>
      </c>
      <c r="K41" s="372">
        <f t="shared" si="9"/>
        <v>38.852045563979303</v>
      </c>
      <c r="L41" s="372">
        <f t="shared" si="10"/>
        <v>96.463106043109505</v>
      </c>
      <c r="M41" s="372">
        <f t="shared" si="11"/>
        <v>82.843066522241301</v>
      </c>
      <c r="N41" s="372">
        <f t="shared" si="12"/>
        <v>152.18672700136599</v>
      </c>
      <c r="O41" s="372">
        <f t="shared" si="13"/>
        <v>28.640331645828802</v>
      </c>
    </row>
    <row r="42" spans="1:15">
      <c r="A42" s="373">
        <v>34455</v>
      </c>
      <c r="B42" s="372">
        <v>31.552327193803801</v>
      </c>
      <c r="C42" s="372">
        <f t="shared" si="1"/>
        <v>65.334843481278995</v>
      </c>
      <c r="D42" s="372">
        <f t="shared" si="2"/>
        <v>132.33130393409101</v>
      </c>
      <c r="E42" s="372">
        <f t="shared" si="3"/>
        <v>104.43350140830201</v>
      </c>
      <c r="F42" s="372">
        <f t="shared" si="4"/>
        <v>47.993607973424297</v>
      </c>
      <c r="G42" s="372">
        <f t="shared" si="5"/>
        <v>-26.730356831663801</v>
      </c>
      <c r="H42" s="372">
        <f t="shared" si="6"/>
        <v>-6.2300963525360604</v>
      </c>
      <c r="I42" s="372">
        <f t="shared" si="7"/>
        <v>14.3228641265943</v>
      </c>
      <c r="J42" s="372">
        <f t="shared" si="8"/>
        <v>55.538324605723297</v>
      </c>
      <c r="K42" s="372">
        <f t="shared" si="9"/>
        <v>54.321685084853897</v>
      </c>
      <c r="L42" s="372">
        <f t="shared" si="10"/>
        <v>38.852045563979303</v>
      </c>
      <c r="M42" s="372">
        <f t="shared" si="11"/>
        <v>96.463106043109505</v>
      </c>
      <c r="N42" s="372">
        <f t="shared" si="12"/>
        <v>82.843066522241301</v>
      </c>
      <c r="O42" s="372">
        <f t="shared" si="13"/>
        <v>152.18672700136599</v>
      </c>
    </row>
    <row r="43" spans="1:15">
      <c r="A43" s="373">
        <v>34486</v>
      </c>
      <c r="B43" s="372">
        <v>23.207510906321801</v>
      </c>
      <c r="C43" s="372">
        <f t="shared" si="1"/>
        <v>31.552327193803801</v>
      </c>
      <c r="D43" s="372">
        <f t="shared" si="2"/>
        <v>65.334843481278995</v>
      </c>
      <c r="E43" s="372">
        <f t="shared" si="3"/>
        <v>132.33130393409101</v>
      </c>
      <c r="F43" s="372">
        <f t="shared" si="4"/>
        <v>104.43350140830201</v>
      </c>
      <c r="G43" s="372">
        <f t="shared" si="5"/>
        <v>47.993607973424297</v>
      </c>
      <c r="H43" s="372">
        <f t="shared" si="6"/>
        <v>-26.730356831663801</v>
      </c>
      <c r="I43" s="372">
        <f t="shared" si="7"/>
        <v>-6.2300963525360604</v>
      </c>
      <c r="J43" s="372">
        <f t="shared" si="8"/>
        <v>14.3228641265943</v>
      </c>
      <c r="K43" s="372">
        <f t="shared" si="9"/>
        <v>55.538324605723297</v>
      </c>
      <c r="L43" s="372">
        <f t="shared" si="10"/>
        <v>54.321685084853897</v>
      </c>
      <c r="M43" s="372">
        <f t="shared" si="11"/>
        <v>38.852045563979303</v>
      </c>
      <c r="N43" s="372">
        <f t="shared" si="12"/>
        <v>96.463106043109505</v>
      </c>
      <c r="O43" s="372">
        <f t="shared" si="13"/>
        <v>82.843066522241301</v>
      </c>
    </row>
    <row r="44" spans="1:15">
      <c r="A44" s="373">
        <v>34516</v>
      </c>
      <c r="B44" s="372">
        <v>5.2805946188411701</v>
      </c>
      <c r="C44" s="372">
        <f t="shared" si="1"/>
        <v>23.207510906321801</v>
      </c>
      <c r="D44" s="372">
        <f t="shared" si="2"/>
        <v>31.552327193803801</v>
      </c>
      <c r="E44" s="372">
        <f t="shared" si="3"/>
        <v>65.334843481278995</v>
      </c>
      <c r="F44" s="372">
        <f t="shared" si="4"/>
        <v>132.33130393409101</v>
      </c>
      <c r="G44" s="372">
        <f t="shared" si="5"/>
        <v>104.43350140830201</v>
      </c>
      <c r="H44" s="372">
        <f t="shared" si="6"/>
        <v>47.993607973424297</v>
      </c>
      <c r="I44" s="372">
        <f t="shared" si="7"/>
        <v>-26.730356831663801</v>
      </c>
      <c r="J44" s="372">
        <f t="shared" si="8"/>
        <v>-6.2300963525360604</v>
      </c>
      <c r="K44" s="372">
        <f t="shared" si="9"/>
        <v>14.3228641265943</v>
      </c>
      <c r="L44" s="372">
        <f t="shared" si="10"/>
        <v>55.538324605723297</v>
      </c>
      <c r="M44" s="372">
        <f t="shared" si="11"/>
        <v>54.321685084853897</v>
      </c>
      <c r="N44" s="372">
        <f t="shared" si="12"/>
        <v>38.852045563979303</v>
      </c>
      <c r="O44" s="372">
        <f t="shared" si="13"/>
        <v>96.463106043109505</v>
      </c>
    </row>
    <row r="45" spans="1:15">
      <c r="A45" s="373">
        <v>34547</v>
      </c>
      <c r="B45" s="372">
        <v>-4.7656216686343598</v>
      </c>
      <c r="C45" s="372">
        <f t="shared" si="1"/>
        <v>5.2805946188411701</v>
      </c>
      <c r="D45" s="372">
        <f t="shared" si="2"/>
        <v>23.207510906321801</v>
      </c>
      <c r="E45" s="372">
        <f t="shared" si="3"/>
        <v>31.552327193803801</v>
      </c>
      <c r="F45" s="372">
        <f t="shared" si="4"/>
        <v>65.334843481278995</v>
      </c>
      <c r="G45" s="372">
        <f t="shared" si="5"/>
        <v>132.33130393409101</v>
      </c>
      <c r="H45" s="372">
        <f t="shared" si="6"/>
        <v>104.43350140830201</v>
      </c>
      <c r="I45" s="372">
        <f t="shared" si="7"/>
        <v>47.993607973424297</v>
      </c>
      <c r="J45" s="372">
        <f t="shared" si="8"/>
        <v>-26.730356831663801</v>
      </c>
      <c r="K45" s="372">
        <f t="shared" si="9"/>
        <v>-6.2300963525360604</v>
      </c>
      <c r="L45" s="372">
        <f t="shared" si="10"/>
        <v>14.3228641265943</v>
      </c>
      <c r="M45" s="372">
        <f t="shared" si="11"/>
        <v>55.538324605723297</v>
      </c>
      <c r="N45" s="372">
        <f t="shared" si="12"/>
        <v>54.321685084853897</v>
      </c>
      <c r="O45" s="372">
        <f t="shared" si="13"/>
        <v>38.852045563979303</v>
      </c>
    </row>
    <row r="46" spans="1:15">
      <c r="A46" s="373">
        <v>34578</v>
      </c>
      <c r="B46" s="372">
        <v>97.343162043884803</v>
      </c>
      <c r="C46" s="372">
        <f t="shared" si="1"/>
        <v>-4.7656216686343598</v>
      </c>
      <c r="D46" s="372">
        <f t="shared" si="2"/>
        <v>5.2805946188411701</v>
      </c>
      <c r="E46" s="372">
        <f t="shared" si="3"/>
        <v>23.207510906321801</v>
      </c>
      <c r="F46" s="372">
        <f t="shared" si="4"/>
        <v>31.552327193803801</v>
      </c>
      <c r="G46" s="372">
        <f t="shared" si="5"/>
        <v>65.334843481278995</v>
      </c>
      <c r="H46" s="372">
        <f t="shared" si="6"/>
        <v>132.33130393409101</v>
      </c>
      <c r="I46" s="372">
        <f t="shared" si="7"/>
        <v>104.43350140830201</v>
      </c>
      <c r="J46" s="372">
        <f t="shared" si="8"/>
        <v>47.993607973424297</v>
      </c>
      <c r="K46" s="372">
        <f t="shared" si="9"/>
        <v>-26.730356831663801</v>
      </c>
      <c r="L46" s="372">
        <f t="shared" si="10"/>
        <v>-6.2300963525360604</v>
      </c>
      <c r="M46" s="372">
        <f t="shared" si="11"/>
        <v>14.3228641265943</v>
      </c>
      <c r="N46" s="372">
        <f t="shared" si="12"/>
        <v>55.538324605723297</v>
      </c>
      <c r="O46" s="372">
        <f t="shared" si="13"/>
        <v>54.321685084853897</v>
      </c>
    </row>
    <row r="47" spans="1:15">
      <c r="A47" s="373">
        <v>34608</v>
      </c>
      <c r="B47" s="372">
        <v>67.597845756405306</v>
      </c>
      <c r="C47" s="372">
        <f t="shared" si="1"/>
        <v>97.343162043884803</v>
      </c>
      <c r="D47" s="372">
        <f t="shared" si="2"/>
        <v>-4.7656216686343598</v>
      </c>
      <c r="E47" s="372">
        <f t="shared" si="3"/>
        <v>5.2805946188411701</v>
      </c>
      <c r="F47" s="372">
        <f t="shared" si="4"/>
        <v>23.207510906321801</v>
      </c>
      <c r="G47" s="372">
        <f t="shared" si="5"/>
        <v>31.552327193803801</v>
      </c>
      <c r="H47" s="372">
        <f t="shared" si="6"/>
        <v>65.334843481278995</v>
      </c>
      <c r="I47" s="372">
        <f t="shared" si="7"/>
        <v>132.33130393409101</v>
      </c>
      <c r="J47" s="372">
        <f t="shared" si="8"/>
        <v>104.43350140830201</v>
      </c>
      <c r="K47" s="372">
        <f t="shared" si="9"/>
        <v>47.993607973424297</v>
      </c>
      <c r="L47" s="372">
        <f t="shared" si="10"/>
        <v>-26.730356831663801</v>
      </c>
      <c r="M47" s="372">
        <f t="shared" si="11"/>
        <v>-6.2300963525360604</v>
      </c>
      <c r="N47" s="372">
        <f t="shared" si="12"/>
        <v>14.3228641265943</v>
      </c>
      <c r="O47" s="372">
        <f t="shared" si="13"/>
        <v>55.538324605723297</v>
      </c>
    </row>
    <row r="48" spans="1:15">
      <c r="A48" s="373">
        <v>34639</v>
      </c>
      <c r="B48" s="372">
        <v>75.4860294689244</v>
      </c>
      <c r="C48" s="372">
        <f t="shared" si="1"/>
        <v>67.597845756405306</v>
      </c>
      <c r="D48" s="372">
        <f t="shared" si="2"/>
        <v>97.343162043884803</v>
      </c>
      <c r="E48" s="372">
        <f t="shared" si="3"/>
        <v>-4.7656216686343598</v>
      </c>
      <c r="F48" s="372">
        <f t="shared" si="4"/>
        <v>5.2805946188411701</v>
      </c>
      <c r="G48" s="372">
        <f t="shared" si="5"/>
        <v>23.207510906321801</v>
      </c>
      <c r="H48" s="372">
        <f t="shared" si="6"/>
        <v>31.552327193803801</v>
      </c>
      <c r="I48" s="372">
        <f t="shared" si="7"/>
        <v>65.334843481278995</v>
      </c>
      <c r="J48" s="372">
        <f t="shared" si="8"/>
        <v>132.33130393409101</v>
      </c>
      <c r="K48" s="372">
        <f t="shared" si="9"/>
        <v>104.43350140830201</v>
      </c>
      <c r="L48" s="372">
        <f t="shared" si="10"/>
        <v>47.993607973424297</v>
      </c>
      <c r="M48" s="372">
        <f t="shared" si="11"/>
        <v>-26.730356831663801</v>
      </c>
      <c r="N48" s="372">
        <f t="shared" si="12"/>
        <v>-6.2300963525360604</v>
      </c>
      <c r="O48" s="372">
        <f t="shared" si="13"/>
        <v>14.3228641265943</v>
      </c>
    </row>
    <row r="49" spans="1:15">
      <c r="A49" s="373">
        <v>34669</v>
      </c>
      <c r="B49" s="372">
        <v>46.967913181446399</v>
      </c>
      <c r="C49" s="372">
        <f t="shared" si="1"/>
        <v>75.4860294689244</v>
      </c>
      <c r="D49" s="372">
        <f t="shared" si="2"/>
        <v>67.597845756405306</v>
      </c>
      <c r="E49" s="372">
        <f t="shared" si="3"/>
        <v>97.343162043884803</v>
      </c>
      <c r="F49" s="372">
        <f t="shared" si="4"/>
        <v>-4.7656216686343598</v>
      </c>
      <c r="G49" s="372">
        <f t="shared" si="5"/>
        <v>5.2805946188411701</v>
      </c>
      <c r="H49" s="372">
        <f t="shared" si="6"/>
        <v>23.207510906321801</v>
      </c>
      <c r="I49" s="372">
        <f t="shared" si="7"/>
        <v>31.552327193803801</v>
      </c>
      <c r="J49" s="372">
        <f t="shared" si="8"/>
        <v>65.334843481278995</v>
      </c>
      <c r="K49" s="372">
        <f t="shared" si="9"/>
        <v>132.33130393409101</v>
      </c>
      <c r="L49" s="372">
        <f t="shared" si="10"/>
        <v>104.43350140830201</v>
      </c>
      <c r="M49" s="372">
        <f t="shared" si="11"/>
        <v>47.993607973424297</v>
      </c>
      <c r="N49" s="372">
        <f t="shared" si="12"/>
        <v>-26.730356831663801</v>
      </c>
      <c r="O49" s="372">
        <f t="shared" si="13"/>
        <v>-6.2300963525360604</v>
      </c>
    </row>
    <row r="50" spans="1:15">
      <c r="A50" s="373">
        <v>34700</v>
      </c>
      <c r="B50" s="372">
        <v>56.226022178184301</v>
      </c>
      <c r="C50" s="372">
        <f t="shared" si="1"/>
        <v>46.967913181446399</v>
      </c>
      <c r="D50" s="372">
        <f t="shared" si="2"/>
        <v>75.4860294689244</v>
      </c>
      <c r="E50" s="372">
        <f t="shared" si="3"/>
        <v>67.597845756405306</v>
      </c>
      <c r="F50" s="372">
        <f t="shared" si="4"/>
        <v>97.343162043884803</v>
      </c>
      <c r="G50" s="372">
        <f t="shared" si="5"/>
        <v>-4.7656216686343598</v>
      </c>
      <c r="H50" s="372">
        <f t="shared" si="6"/>
        <v>5.2805946188411701</v>
      </c>
      <c r="I50" s="372">
        <f t="shared" si="7"/>
        <v>23.207510906321801</v>
      </c>
      <c r="J50" s="372">
        <f t="shared" si="8"/>
        <v>31.552327193803801</v>
      </c>
      <c r="K50" s="372">
        <f t="shared" si="9"/>
        <v>65.334843481278995</v>
      </c>
      <c r="L50" s="372">
        <f t="shared" si="10"/>
        <v>132.33130393409101</v>
      </c>
      <c r="M50" s="372">
        <f t="shared" si="11"/>
        <v>104.43350140830201</v>
      </c>
      <c r="N50" s="372">
        <f t="shared" si="12"/>
        <v>47.993607973424297</v>
      </c>
      <c r="O50" s="372">
        <f t="shared" si="13"/>
        <v>-26.730356831663801</v>
      </c>
    </row>
    <row r="51" spans="1:15">
      <c r="A51" s="373">
        <v>34731</v>
      </c>
      <c r="B51" s="372">
        <v>49.1240598047115</v>
      </c>
      <c r="C51" s="372">
        <f t="shared" si="1"/>
        <v>56.226022178184301</v>
      </c>
      <c r="D51" s="372">
        <f t="shared" si="2"/>
        <v>46.967913181446399</v>
      </c>
      <c r="E51" s="372">
        <f t="shared" si="3"/>
        <v>75.4860294689244</v>
      </c>
      <c r="F51" s="372">
        <f t="shared" si="4"/>
        <v>67.597845756405306</v>
      </c>
      <c r="G51" s="372">
        <f t="shared" si="5"/>
        <v>97.343162043884803</v>
      </c>
      <c r="H51" s="372">
        <f t="shared" si="6"/>
        <v>-4.7656216686343598</v>
      </c>
      <c r="I51" s="372">
        <f t="shared" si="7"/>
        <v>5.2805946188411701</v>
      </c>
      <c r="J51" s="372">
        <f t="shared" si="8"/>
        <v>23.207510906321801</v>
      </c>
      <c r="K51" s="372">
        <f t="shared" si="9"/>
        <v>31.552327193803801</v>
      </c>
      <c r="L51" s="372">
        <f t="shared" si="10"/>
        <v>65.334843481278995</v>
      </c>
      <c r="M51" s="372">
        <f t="shared" si="11"/>
        <v>132.33130393409101</v>
      </c>
      <c r="N51" s="372">
        <f t="shared" si="12"/>
        <v>104.43350140830201</v>
      </c>
      <c r="O51" s="372">
        <f t="shared" si="13"/>
        <v>47.993607973424297</v>
      </c>
    </row>
    <row r="52" spans="1:15">
      <c r="A52" s="373">
        <v>34759</v>
      </c>
      <c r="B52" s="372">
        <v>48.275006522151202</v>
      </c>
      <c r="C52" s="372">
        <f t="shared" si="1"/>
        <v>49.1240598047115</v>
      </c>
      <c r="D52" s="372">
        <f t="shared" si="2"/>
        <v>56.226022178184301</v>
      </c>
      <c r="E52" s="372">
        <f t="shared" si="3"/>
        <v>46.967913181446399</v>
      </c>
      <c r="F52" s="372">
        <f t="shared" si="4"/>
        <v>75.4860294689244</v>
      </c>
      <c r="G52" s="372">
        <f t="shared" si="5"/>
        <v>67.597845756405306</v>
      </c>
      <c r="H52" s="372">
        <f t="shared" si="6"/>
        <v>97.343162043884803</v>
      </c>
      <c r="I52" s="372">
        <f t="shared" si="7"/>
        <v>-4.7656216686343598</v>
      </c>
      <c r="J52" s="372">
        <f t="shared" si="8"/>
        <v>5.2805946188411701</v>
      </c>
      <c r="K52" s="372">
        <f t="shared" si="9"/>
        <v>23.207510906321801</v>
      </c>
      <c r="L52" s="372">
        <f t="shared" si="10"/>
        <v>31.552327193803801</v>
      </c>
      <c r="M52" s="372">
        <f t="shared" si="11"/>
        <v>65.334843481278995</v>
      </c>
      <c r="N52" s="372">
        <f t="shared" si="12"/>
        <v>132.33130393409101</v>
      </c>
      <c r="O52" s="372">
        <f t="shared" si="13"/>
        <v>104.43350140830201</v>
      </c>
    </row>
    <row r="53" spans="1:15">
      <c r="A53" s="373">
        <v>34790</v>
      </c>
      <c r="B53" s="372">
        <v>-16.8493097390119</v>
      </c>
      <c r="C53" s="372">
        <f t="shared" si="1"/>
        <v>48.275006522151202</v>
      </c>
      <c r="D53" s="372">
        <f t="shared" si="2"/>
        <v>49.1240598047115</v>
      </c>
      <c r="E53" s="372">
        <f t="shared" si="3"/>
        <v>56.226022178184301</v>
      </c>
      <c r="F53" s="372">
        <f t="shared" si="4"/>
        <v>46.967913181446399</v>
      </c>
      <c r="G53" s="372">
        <f t="shared" si="5"/>
        <v>75.4860294689244</v>
      </c>
      <c r="H53" s="372">
        <f t="shared" si="6"/>
        <v>67.597845756405306</v>
      </c>
      <c r="I53" s="372">
        <f t="shared" si="7"/>
        <v>97.343162043884803</v>
      </c>
      <c r="J53" s="372">
        <f t="shared" si="8"/>
        <v>-4.7656216686343598</v>
      </c>
      <c r="K53" s="372">
        <f t="shared" si="9"/>
        <v>5.2805946188411701</v>
      </c>
      <c r="L53" s="372">
        <f t="shared" si="10"/>
        <v>23.207510906321801</v>
      </c>
      <c r="M53" s="372">
        <f t="shared" si="11"/>
        <v>31.552327193803801</v>
      </c>
      <c r="N53" s="372">
        <f t="shared" si="12"/>
        <v>65.334843481278995</v>
      </c>
      <c r="O53" s="372">
        <f t="shared" si="13"/>
        <v>132.33130393409101</v>
      </c>
    </row>
    <row r="54" spans="1:15">
      <c r="A54" s="373">
        <v>34820</v>
      </c>
      <c r="B54" s="372">
        <v>-9.8006818348374001</v>
      </c>
      <c r="C54" s="372">
        <f t="shared" si="1"/>
        <v>-16.8493097390119</v>
      </c>
      <c r="D54" s="372">
        <f t="shared" si="2"/>
        <v>48.275006522151202</v>
      </c>
      <c r="E54" s="372">
        <f t="shared" si="3"/>
        <v>49.1240598047115</v>
      </c>
      <c r="F54" s="372">
        <f t="shared" si="4"/>
        <v>56.226022178184301</v>
      </c>
      <c r="G54" s="372">
        <f t="shared" si="5"/>
        <v>46.967913181446399</v>
      </c>
      <c r="H54" s="372">
        <f t="shared" si="6"/>
        <v>75.4860294689244</v>
      </c>
      <c r="I54" s="372">
        <f t="shared" si="7"/>
        <v>67.597845756405306</v>
      </c>
      <c r="J54" s="372">
        <f t="shared" si="8"/>
        <v>97.343162043884803</v>
      </c>
      <c r="K54" s="372">
        <f t="shared" si="9"/>
        <v>-4.7656216686343598</v>
      </c>
      <c r="L54" s="372">
        <f t="shared" si="10"/>
        <v>5.2805946188411701</v>
      </c>
      <c r="M54" s="372">
        <f t="shared" si="11"/>
        <v>23.207510906321801</v>
      </c>
      <c r="N54" s="372">
        <f t="shared" si="12"/>
        <v>31.552327193803801</v>
      </c>
      <c r="O54" s="372">
        <f t="shared" si="13"/>
        <v>65.334843481278995</v>
      </c>
    </row>
    <row r="55" spans="1:15">
      <c r="A55" s="373">
        <v>34851</v>
      </c>
      <c r="B55" s="372">
        <v>24.552646069330098</v>
      </c>
      <c r="C55" s="372">
        <f t="shared" si="1"/>
        <v>-9.8006818348374001</v>
      </c>
      <c r="D55" s="372">
        <f t="shared" si="2"/>
        <v>-16.8493097390119</v>
      </c>
      <c r="E55" s="372">
        <f t="shared" si="3"/>
        <v>48.275006522151202</v>
      </c>
      <c r="F55" s="372">
        <f t="shared" si="4"/>
        <v>49.1240598047115</v>
      </c>
      <c r="G55" s="372">
        <f t="shared" si="5"/>
        <v>56.226022178184301</v>
      </c>
      <c r="H55" s="372">
        <f t="shared" si="6"/>
        <v>46.967913181446399</v>
      </c>
      <c r="I55" s="372">
        <f t="shared" si="7"/>
        <v>75.4860294689244</v>
      </c>
      <c r="J55" s="372">
        <f t="shared" si="8"/>
        <v>67.597845756405306</v>
      </c>
      <c r="K55" s="372">
        <f t="shared" si="9"/>
        <v>97.343162043884803</v>
      </c>
      <c r="L55" s="372">
        <f t="shared" si="10"/>
        <v>-4.7656216686343598</v>
      </c>
      <c r="M55" s="372">
        <f t="shared" si="11"/>
        <v>5.2805946188411701</v>
      </c>
      <c r="N55" s="372">
        <f t="shared" si="12"/>
        <v>23.207510906321801</v>
      </c>
      <c r="O55" s="372">
        <f t="shared" si="13"/>
        <v>31.552327193803801</v>
      </c>
    </row>
    <row r="56" spans="1:15">
      <c r="A56" s="373">
        <v>34881</v>
      </c>
      <c r="B56" s="372">
        <v>-56.137126026500702</v>
      </c>
      <c r="C56" s="372">
        <f t="shared" si="1"/>
        <v>24.552646069330098</v>
      </c>
      <c r="D56" s="372">
        <f t="shared" si="2"/>
        <v>-9.8006818348374001</v>
      </c>
      <c r="E56" s="372">
        <f t="shared" si="3"/>
        <v>-16.8493097390119</v>
      </c>
      <c r="F56" s="372">
        <f t="shared" si="4"/>
        <v>48.275006522151202</v>
      </c>
      <c r="G56" s="372">
        <f t="shared" si="5"/>
        <v>49.1240598047115</v>
      </c>
      <c r="H56" s="372">
        <f t="shared" si="6"/>
        <v>56.226022178184301</v>
      </c>
      <c r="I56" s="372">
        <f t="shared" si="7"/>
        <v>46.967913181446399</v>
      </c>
      <c r="J56" s="372">
        <f t="shared" si="8"/>
        <v>75.4860294689244</v>
      </c>
      <c r="K56" s="372">
        <f t="shared" si="9"/>
        <v>67.597845756405306</v>
      </c>
      <c r="L56" s="372">
        <f t="shared" si="10"/>
        <v>97.343162043884803</v>
      </c>
      <c r="M56" s="372">
        <f t="shared" si="11"/>
        <v>-4.7656216686343598</v>
      </c>
      <c r="N56" s="372">
        <f t="shared" si="12"/>
        <v>5.2805946188411701</v>
      </c>
      <c r="O56" s="372">
        <f t="shared" si="13"/>
        <v>23.207510906321801</v>
      </c>
    </row>
    <row r="57" spans="1:15">
      <c r="A57" s="373">
        <v>34912</v>
      </c>
      <c r="B57" s="372">
        <v>-23.576198122326499</v>
      </c>
      <c r="C57" s="372">
        <f t="shared" si="1"/>
        <v>-56.137126026500702</v>
      </c>
      <c r="D57" s="372">
        <f t="shared" si="2"/>
        <v>24.552646069330098</v>
      </c>
      <c r="E57" s="372">
        <f t="shared" si="3"/>
        <v>-9.8006818348374001</v>
      </c>
      <c r="F57" s="372">
        <f t="shared" si="4"/>
        <v>-16.8493097390119</v>
      </c>
      <c r="G57" s="372">
        <f t="shared" si="5"/>
        <v>48.275006522151202</v>
      </c>
      <c r="H57" s="372">
        <f t="shared" si="6"/>
        <v>49.1240598047115</v>
      </c>
      <c r="I57" s="372">
        <f t="shared" si="7"/>
        <v>56.226022178184301</v>
      </c>
      <c r="J57" s="372">
        <f t="shared" si="8"/>
        <v>46.967913181446399</v>
      </c>
      <c r="K57" s="372">
        <f t="shared" si="9"/>
        <v>75.4860294689244</v>
      </c>
      <c r="L57" s="372">
        <f t="shared" si="10"/>
        <v>67.597845756405306</v>
      </c>
      <c r="M57" s="372">
        <f t="shared" si="11"/>
        <v>97.343162043884803</v>
      </c>
      <c r="N57" s="372">
        <f t="shared" si="12"/>
        <v>-4.7656216686343598</v>
      </c>
      <c r="O57" s="372">
        <f t="shared" si="13"/>
        <v>5.2805946188411701</v>
      </c>
    </row>
    <row r="58" spans="1:15">
      <c r="A58" s="373">
        <v>34943</v>
      </c>
      <c r="B58" s="372">
        <v>-5.4602702181575697</v>
      </c>
      <c r="C58" s="372">
        <f t="shared" si="1"/>
        <v>-23.576198122326499</v>
      </c>
      <c r="D58" s="372">
        <f t="shared" si="2"/>
        <v>-56.137126026500702</v>
      </c>
      <c r="E58" s="372">
        <f t="shared" si="3"/>
        <v>24.552646069330098</v>
      </c>
      <c r="F58" s="372">
        <f t="shared" si="4"/>
        <v>-9.8006818348374001</v>
      </c>
      <c r="G58" s="372">
        <f t="shared" si="5"/>
        <v>-16.8493097390119</v>
      </c>
      <c r="H58" s="372">
        <f t="shared" si="6"/>
        <v>48.275006522151202</v>
      </c>
      <c r="I58" s="372">
        <f t="shared" si="7"/>
        <v>49.1240598047115</v>
      </c>
      <c r="J58" s="372">
        <f t="shared" si="8"/>
        <v>56.226022178184301</v>
      </c>
      <c r="K58" s="372">
        <f t="shared" si="9"/>
        <v>46.967913181446399</v>
      </c>
      <c r="L58" s="372">
        <f t="shared" si="10"/>
        <v>75.4860294689244</v>
      </c>
      <c r="M58" s="372">
        <f t="shared" si="11"/>
        <v>67.597845756405306</v>
      </c>
      <c r="N58" s="372">
        <f t="shared" si="12"/>
        <v>97.343162043884803</v>
      </c>
      <c r="O58" s="372">
        <f t="shared" si="13"/>
        <v>-4.7656216686343598</v>
      </c>
    </row>
    <row r="59" spans="1:15">
      <c r="A59" s="373">
        <v>34973</v>
      </c>
      <c r="B59" s="372">
        <v>-53.938442313987402</v>
      </c>
      <c r="C59" s="372">
        <f t="shared" si="1"/>
        <v>-5.4602702181575697</v>
      </c>
      <c r="D59" s="372">
        <f t="shared" si="2"/>
        <v>-23.576198122326499</v>
      </c>
      <c r="E59" s="372">
        <f t="shared" si="3"/>
        <v>-56.137126026500702</v>
      </c>
      <c r="F59" s="372">
        <f t="shared" si="4"/>
        <v>24.552646069330098</v>
      </c>
      <c r="G59" s="372">
        <f t="shared" si="5"/>
        <v>-9.8006818348374001</v>
      </c>
      <c r="H59" s="372">
        <f t="shared" si="6"/>
        <v>-16.8493097390119</v>
      </c>
      <c r="I59" s="372">
        <f t="shared" si="7"/>
        <v>48.275006522151202</v>
      </c>
      <c r="J59" s="372">
        <f t="shared" si="8"/>
        <v>49.1240598047115</v>
      </c>
      <c r="K59" s="372">
        <f t="shared" si="9"/>
        <v>56.226022178184301</v>
      </c>
      <c r="L59" s="372">
        <f t="shared" si="10"/>
        <v>46.967913181446399</v>
      </c>
      <c r="M59" s="372">
        <f t="shared" si="11"/>
        <v>75.4860294689244</v>
      </c>
      <c r="N59" s="372">
        <f t="shared" si="12"/>
        <v>67.597845756405306</v>
      </c>
      <c r="O59" s="372">
        <f t="shared" si="13"/>
        <v>97.343162043884803</v>
      </c>
    </row>
    <row r="60" spans="1:15">
      <c r="A60" s="373">
        <v>35004</v>
      </c>
      <c r="B60" s="372">
        <v>-19.2741144098181</v>
      </c>
      <c r="C60" s="372">
        <f t="shared" si="1"/>
        <v>-53.938442313987402</v>
      </c>
      <c r="D60" s="372">
        <f t="shared" si="2"/>
        <v>-5.4602702181575697</v>
      </c>
      <c r="E60" s="372">
        <f t="shared" si="3"/>
        <v>-23.576198122326499</v>
      </c>
      <c r="F60" s="372">
        <f t="shared" si="4"/>
        <v>-56.137126026500702</v>
      </c>
      <c r="G60" s="372">
        <f t="shared" si="5"/>
        <v>24.552646069330098</v>
      </c>
      <c r="H60" s="372">
        <f t="shared" si="6"/>
        <v>-9.8006818348374001</v>
      </c>
      <c r="I60" s="372">
        <f t="shared" si="7"/>
        <v>-16.8493097390119</v>
      </c>
      <c r="J60" s="372">
        <f t="shared" si="8"/>
        <v>48.275006522151202</v>
      </c>
      <c r="K60" s="372">
        <f t="shared" si="9"/>
        <v>49.1240598047115</v>
      </c>
      <c r="L60" s="372">
        <f t="shared" si="10"/>
        <v>56.226022178184301</v>
      </c>
      <c r="M60" s="372">
        <f t="shared" si="11"/>
        <v>46.967913181446399</v>
      </c>
      <c r="N60" s="372">
        <f t="shared" si="12"/>
        <v>75.4860294689244</v>
      </c>
      <c r="O60" s="372">
        <f t="shared" si="13"/>
        <v>67.597845756405306</v>
      </c>
    </row>
    <row r="61" spans="1:15">
      <c r="A61" s="373">
        <v>35034</v>
      </c>
      <c r="B61" s="372">
        <v>-72.391086505646598</v>
      </c>
      <c r="C61" s="372">
        <f t="shared" si="1"/>
        <v>-19.2741144098181</v>
      </c>
      <c r="D61" s="372">
        <f t="shared" si="2"/>
        <v>-53.938442313987402</v>
      </c>
      <c r="E61" s="372">
        <f t="shared" si="3"/>
        <v>-5.4602702181575697</v>
      </c>
      <c r="F61" s="372">
        <f t="shared" si="4"/>
        <v>-23.576198122326499</v>
      </c>
      <c r="G61" s="372">
        <f t="shared" si="5"/>
        <v>-56.137126026500702</v>
      </c>
      <c r="H61" s="372">
        <f t="shared" si="6"/>
        <v>24.552646069330098</v>
      </c>
      <c r="I61" s="372">
        <f t="shared" si="7"/>
        <v>-9.8006818348374001</v>
      </c>
      <c r="J61" s="372">
        <f t="shared" si="8"/>
        <v>-16.8493097390119</v>
      </c>
      <c r="K61" s="372">
        <f t="shared" si="9"/>
        <v>48.275006522151202</v>
      </c>
      <c r="L61" s="372">
        <f t="shared" si="10"/>
        <v>49.1240598047115</v>
      </c>
      <c r="M61" s="372">
        <f t="shared" si="11"/>
        <v>56.226022178184301</v>
      </c>
      <c r="N61" s="372">
        <f t="shared" si="12"/>
        <v>46.967913181446399</v>
      </c>
      <c r="O61" s="372">
        <f t="shared" si="13"/>
        <v>75.4860294689244</v>
      </c>
    </row>
    <row r="62" spans="1:15">
      <c r="A62" s="373">
        <v>35065</v>
      </c>
      <c r="B62" s="372">
        <v>-104.742833317259</v>
      </c>
      <c r="C62" s="372">
        <f t="shared" si="1"/>
        <v>-72.391086505646598</v>
      </c>
      <c r="D62" s="372">
        <f t="shared" si="2"/>
        <v>-19.2741144098181</v>
      </c>
      <c r="E62" s="372">
        <f t="shared" si="3"/>
        <v>-53.938442313987402</v>
      </c>
      <c r="F62" s="372">
        <f t="shared" si="4"/>
        <v>-5.4602702181575697</v>
      </c>
      <c r="G62" s="372">
        <f t="shared" si="5"/>
        <v>-23.576198122326499</v>
      </c>
      <c r="H62" s="372">
        <f t="shared" si="6"/>
        <v>-56.137126026500702</v>
      </c>
      <c r="I62" s="372">
        <f t="shared" si="7"/>
        <v>24.552646069330098</v>
      </c>
      <c r="J62" s="372">
        <f t="shared" si="8"/>
        <v>-9.8006818348374001</v>
      </c>
      <c r="K62" s="372">
        <f t="shared" si="9"/>
        <v>-16.8493097390119</v>
      </c>
      <c r="L62" s="372">
        <f t="shared" si="10"/>
        <v>48.275006522151202</v>
      </c>
      <c r="M62" s="372">
        <f t="shared" si="11"/>
        <v>49.1240598047115</v>
      </c>
      <c r="N62" s="372">
        <f t="shared" si="12"/>
        <v>56.226022178184301</v>
      </c>
      <c r="O62" s="372">
        <f t="shared" si="13"/>
        <v>46.967913181446399</v>
      </c>
    </row>
    <row r="63" spans="1:15">
      <c r="A63" s="373">
        <v>35096</v>
      </c>
      <c r="B63" s="372">
        <v>-82.7186514990821</v>
      </c>
      <c r="C63" s="372">
        <f t="shared" si="1"/>
        <v>-104.742833317259</v>
      </c>
      <c r="D63" s="372">
        <f t="shared" si="2"/>
        <v>-72.391086505646598</v>
      </c>
      <c r="E63" s="372">
        <f t="shared" si="3"/>
        <v>-19.2741144098181</v>
      </c>
      <c r="F63" s="372">
        <f t="shared" si="4"/>
        <v>-53.938442313987402</v>
      </c>
      <c r="G63" s="372">
        <f t="shared" si="5"/>
        <v>-5.4602702181575697</v>
      </c>
      <c r="H63" s="372">
        <f t="shared" si="6"/>
        <v>-23.576198122326499</v>
      </c>
      <c r="I63" s="372">
        <f t="shared" si="7"/>
        <v>-56.137126026500702</v>
      </c>
      <c r="J63" s="372">
        <f t="shared" si="8"/>
        <v>24.552646069330098</v>
      </c>
      <c r="K63" s="372">
        <f t="shared" si="9"/>
        <v>-9.8006818348374001</v>
      </c>
      <c r="L63" s="372">
        <f t="shared" si="10"/>
        <v>-16.8493097390119</v>
      </c>
      <c r="M63" s="372">
        <f t="shared" si="11"/>
        <v>48.275006522151202</v>
      </c>
      <c r="N63" s="372">
        <f t="shared" si="12"/>
        <v>49.1240598047115</v>
      </c>
      <c r="O63" s="372">
        <f t="shared" si="13"/>
        <v>56.226022178184301</v>
      </c>
    </row>
    <row r="64" spans="1:15">
      <c r="A64" s="373">
        <v>35125</v>
      </c>
      <c r="B64" s="372">
        <v>-188.69356058999301</v>
      </c>
      <c r="C64" s="372">
        <f t="shared" si="1"/>
        <v>-82.7186514990821</v>
      </c>
      <c r="D64" s="372">
        <f t="shared" si="2"/>
        <v>-104.742833317259</v>
      </c>
      <c r="E64" s="372">
        <f t="shared" si="3"/>
        <v>-72.391086505646598</v>
      </c>
      <c r="F64" s="372">
        <f t="shared" si="4"/>
        <v>-19.2741144098181</v>
      </c>
      <c r="G64" s="372">
        <f t="shared" si="5"/>
        <v>-53.938442313987402</v>
      </c>
      <c r="H64" s="372">
        <f t="shared" si="6"/>
        <v>-5.4602702181575697</v>
      </c>
      <c r="I64" s="372">
        <f t="shared" si="7"/>
        <v>-23.576198122326499</v>
      </c>
      <c r="J64" s="372">
        <f t="shared" si="8"/>
        <v>-56.137126026500702</v>
      </c>
      <c r="K64" s="372">
        <f t="shared" si="9"/>
        <v>24.552646069330098</v>
      </c>
      <c r="L64" s="372">
        <f t="shared" si="10"/>
        <v>-9.8006818348374001</v>
      </c>
      <c r="M64" s="372">
        <f t="shared" si="11"/>
        <v>-16.8493097390119</v>
      </c>
      <c r="N64" s="372">
        <f t="shared" si="12"/>
        <v>48.275006522151202</v>
      </c>
      <c r="O64" s="372">
        <f t="shared" si="13"/>
        <v>49.1240598047115</v>
      </c>
    </row>
    <row r="65" spans="1:15">
      <c r="A65" s="373">
        <v>35156</v>
      </c>
      <c r="B65" s="372">
        <v>-140.009732659506</v>
      </c>
      <c r="C65" s="372">
        <f t="shared" si="1"/>
        <v>-188.69356058999301</v>
      </c>
      <c r="D65" s="372">
        <f t="shared" si="2"/>
        <v>-82.7186514990821</v>
      </c>
      <c r="E65" s="372">
        <f t="shared" si="3"/>
        <v>-104.742833317259</v>
      </c>
      <c r="F65" s="372">
        <f t="shared" si="4"/>
        <v>-72.391086505646598</v>
      </c>
      <c r="G65" s="372">
        <f t="shared" si="5"/>
        <v>-19.2741144098181</v>
      </c>
      <c r="H65" s="372">
        <f t="shared" si="6"/>
        <v>-53.938442313987402</v>
      </c>
      <c r="I65" s="372">
        <f t="shared" si="7"/>
        <v>-5.4602702181575697</v>
      </c>
      <c r="J65" s="372">
        <f t="shared" si="8"/>
        <v>-23.576198122326499</v>
      </c>
      <c r="K65" s="372">
        <f t="shared" si="9"/>
        <v>-56.137126026500702</v>
      </c>
      <c r="L65" s="372">
        <f t="shared" si="10"/>
        <v>24.552646069330098</v>
      </c>
      <c r="M65" s="372">
        <f t="shared" si="11"/>
        <v>-9.8006818348374001</v>
      </c>
      <c r="N65" s="372">
        <f t="shared" si="12"/>
        <v>-16.8493097390119</v>
      </c>
      <c r="O65" s="372">
        <f t="shared" si="13"/>
        <v>48.275006522151202</v>
      </c>
    </row>
    <row r="66" spans="1:15">
      <c r="A66" s="373">
        <v>35186</v>
      </c>
      <c r="B66" s="372">
        <v>-85.592960563682198</v>
      </c>
      <c r="C66" s="372">
        <f t="shared" si="1"/>
        <v>-140.009732659506</v>
      </c>
      <c r="D66" s="372">
        <f t="shared" si="2"/>
        <v>-188.69356058999301</v>
      </c>
      <c r="E66" s="372">
        <f t="shared" si="3"/>
        <v>-82.7186514990821</v>
      </c>
      <c r="F66" s="372">
        <f t="shared" si="4"/>
        <v>-104.742833317259</v>
      </c>
      <c r="G66" s="372">
        <f t="shared" si="5"/>
        <v>-72.391086505646598</v>
      </c>
      <c r="H66" s="372">
        <f t="shared" si="6"/>
        <v>-19.2741144098181</v>
      </c>
      <c r="I66" s="372">
        <f t="shared" si="7"/>
        <v>-53.938442313987402</v>
      </c>
      <c r="J66" s="372">
        <f t="shared" si="8"/>
        <v>-5.4602702181575697</v>
      </c>
      <c r="K66" s="372">
        <f t="shared" si="9"/>
        <v>-23.576198122326499</v>
      </c>
      <c r="L66" s="372">
        <f t="shared" si="10"/>
        <v>-56.137126026500702</v>
      </c>
      <c r="M66" s="372">
        <f t="shared" si="11"/>
        <v>24.552646069330098</v>
      </c>
      <c r="N66" s="372">
        <f t="shared" si="12"/>
        <v>-9.8006818348374001</v>
      </c>
      <c r="O66" s="372">
        <f t="shared" si="13"/>
        <v>-16.8493097390119</v>
      </c>
    </row>
    <row r="67" spans="1:15">
      <c r="A67" s="373">
        <v>35217</v>
      </c>
      <c r="B67" s="372">
        <v>-45.072488467865</v>
      </c>
      <c r="C67" s="372">
        <f t="shared" si="1"/>
        <v>-85.592960563682198</v>
      </c>
      <c r="D67" s="372">
        <f t="shared" si="2"/>
        <v>-140.009732659506</v>
      </c>
      <c r="E67" s="372">
        <f t="shared" si="3"/>
        <v>-188.69356058999301</v>
      </c>
      <c r="F67" s="372">
        <f t="shared" si="4"/>
        <v>-82.7186514990821</v>
      </c>
      <c r="G67" s="372">
        <f t="shared" si="5"/>
        <v>-104.742833317259</v>
      </c>
      <c r="H67" s="372">
        <f t="shared" si="6"/>
        <v>-72.391086505646598</v>
      </c>
      <c r="I67" s="372">
        <f t="shared" si="7"/>
        <v>-19.2741144098181</v>
      </c>
      <c r="J67" s="372">
        <f t="shared" si="8"/>
        <v>-53.938442313987402</v>
      </c>
      <c r="K67" s="372">
        <f t="shared" si="9"/>
        <v>-5.4602702181575697</v>
      </c>
      <c r="L67" s="372">
        <f t="shared" si="10"/>
        <v>-23.576198122326499</v>
      </c>
      <c r="M67" s="372">
        <f t="shared" si="11"/>
        <v>-56.137126026500702</v>
      </c>
      <c r="N67" s="372">
        <f t="shared" si="12"/>
        <v>24.552646069330098</v>
      </c>
      <c r="O67" s="372">
        <f t="shared" si="13"/>
        <v>-9.8006818348374001</v>
      </c>
    </row>
    <row r="68" spans="1:15">
      <c r="A68" s="373">
        <v>35247</v>
      </c>
      <c r="B68" s="372">
        <v>-15.335116372046</v>
      </c>
      <c r="C68" s="372">
        <f t="shared" ref="C68:C124" si="14">B67</f>
        <v>-45.072488467865</v>
      </c>
      <c r="D68" s="372">
        <f t="shared" si="2"/>
        <v>-85.592960563682198</v>
      </c>
      <c r="E68" s="372">
        <f t="shared" si="3"/>
        <v>-140.009732659506</v>
      </c>
      <c r="F68" s="372">
        <f t="shared" si="4"/>
        <v>-188.69356058999301</v>
      </c>
      <c r="G68" s="372">
        <f t="shared" si="5"/>
        <v>-82.7186514990821</v>
      </c>
      <c r="H68" s="372">
        <f t="shared" si="6"/>
        <v>-104.742833317259</v>
      </c>
      <c r="I68" s="372">
        <f t="shared" si="7"/>
        <v>-72.391086505646598</v>
      </c>
      <c r="J68" s="372">
        <f t="shared" si="8"/>
        <v>-19.2741144098181</v>
      </c>
      <c r="K68" s="372">
        <f t="shared" si="9"/>
        <v>-53.938442313987402</v>
      </c>
      <c r="L68" s="372">
        <f t="shared" si="10"/>
        <v>-5.4602702181575697</v>
      </c>
      <c r="M68" s="372">
        <f t="shared" si="11"/>
        <v>-23.576198122326499</v>
      </c>
      <c r="N68" s="372">
        <f t="shared" si="12"/>
        <v>-56.137126026500702</v>
      </c>
      <c r="O68" s="372">
        <f t="shared" si="13"/>
        <v>24.552646069330098</v>
      </c>
    </row>
    <row r="69" spans="1:15">
      <c r="A69" s="373">
        <v>35278</v>
      </c>
      <c r="B69" s="372">
        <v>39.6599557237775</v>
      </c>
      <c r="C69" s="372">
        <f t="shared" si="14"/>
        <v>-15.335116372046</v>
      </c>
      <c r="D69" s="372">
        <f t="shared" ref="D69:D124" si="15">B67</f>
        <v>-45.072488467865</v>
      </c>
      <c r="E69" s="372">
        <f t="shared" si="3"/>
        <v>-85.592960563682198</v>
      </c>
      <c r="F69" s="372">
        <f t="shared" si="4"/>
        <v>-140.009732659506</v>
      </c>
      <c r="G69" s="372">
        <f t="shared" si="5"/>
        <v>-188.69356058999301</v>
      </c>
      <c r="H69" s="372">
        <f t="shared" si="6"/>
        <v>-82.7186514990821</v>
      </c>
      <c r="I69" s="372">
        <f t="shared" si="7"/>
        <v>-104.742833317259</v>
      </c>
      <c r="J69" s="372">
        <f t="shared" si="8"/>
        <v>-72.391086505646598</v>
      </c>
      <c r="K69" s="372">
        <f t="shared" si="9"/>
        <v>-19.2741144098181</v>
      </c>
      <c r="L69" s="372">
        <f t="shared" si="10"/>
        <v>-53.938442313987402</v>
      </c>
      <c r="M69" s="372">
        <f t="shared" si="11"/>
        <v>-5.4602702181575697</v>
      </c>
      <c r="N69" s="372">
        <f t="shared" si="12"/>
        <v>-23.576198122326499</v>
      </c>
      <c r="O69" s="372">
        <f t="shared" si="13"/>
        <v>-56.137126026500702</v>
      </c>
    </row>
    <row r="70" spans="1:15">
      <c r="A70" s="373">
        <v>35309</v>
      </c>
      <c r="B70" s="372">
        <v>-31.342972180403802</v>
      </c>
      <c r="C70" s="372">
        <f t="shared" si="14"/>
        <v>39.6599557237775</v>
      </c>
      <c r="D70" s="372">
        <f t="shared" si="15"/>
        <v>-15.335116372046</v>
      </c>
      <c r="E70" s="372">
        <f t="shared" ref="E70:E124" si="16">B67</f>
        <v>-45.072488467865</v>
      </c>
      <c r="F70" s="372">
        <f t="shared" si="4"/>
        <v>-85.592960563682198</v>
      </c>
      <c r="G70" s="372">
        <f t="shared" si="5"/>
        <v>-140.009732659506</v>
      </c>
      <c r="H70" s="372">
        <f t="shared" si="6"/>
        <v>-188.69356058999301</v>
      </c>
      <c r="I70" s="372">
        <f t="shared" si="7"/>
        <v>-82.7186514990821</v>
      </c>
      <c r="J70" s="372">
        <f t="shared" si="8"/>
        <v>-104.742833317259</v>
      </c>
      <c r="K70" s="372">
        <f t="shared" si="9"/>
        <v>-72.391086505646598</v>
      </c>
      <c r="L70" s="372">
        <f t="shared" si="10"/>
        <v>-19.2741144098181</v>
      </c>
      <c r="M70" s="372">
        <f t="shared" si="11"/>
        <v>-53.938442313987402</v>
      </c>
      <c r="N70" s="372">
        <f t="shared" si="12"/>
        <v>-5.4602702181575697</v>
      </c>
      <c r="O70" s="372">
        <f t="shared" si="13"/>
        <v>-23.576198122326499</v>
      </c>
    </row>
    <row r="71" spans="1:15">
      <c r="A71" s="373">
        <v>35339</v>
      </c>
      <c r="B71" s="372">
        <v>-21.811000084583998</v>
      </c>
      <c r="C71" s="372">
        <f t="shared" si="14"/>
        <v>-31.342972180403802</v>
      </c>
      <c r="D71" s="372">
        <f t="shared" si="15"/>
        <v>39.6599557237775</v>
      </c>
      <c r="E71" s="372">
        <f t="shared" si="16"/>
        <v>-15.335116372046</v>
      </c>
      <c r="F71" s="372">
        <f t="shared" ref="F71:F124" si="17">B67</f>
        <v>-45.072488467865</v>
      </c>
      <c r="G71" s="372">
        <f t="shared" si="5"/>
        <v>-85.592960563682198</v>
      </c>
      <c r="H71" s="372">
        <f t="shared" si="6"/>
        <v>-140.009732659506</v>
      </c>
      <c r="I71" s="372">
        <f t="shared" si="7"/>
        <v>-188.69356058999301</v>
      </c>
      <c r="J71" s="372">
        <f t="shared" si="8"/>
        <v>-82.7186514990821</v>
      </c>
      <c r="K71" s="372">
        <f t="shared" si="9"/>
        <v>-104.742833317259</v>
      </c>
      <c r="L71" s="372">
        <f t="shared" si="10"/>
        <v>-72.391086505646598</v>
      </c>
      <c r="M71" s="372">
        <f t="shared" si="11"/>
        <v>-19.2741144098181</v>
      </c>
      <c r="N71" s="372">
        <f t="shared" si="12"/>
        <v>-53.938442313987402</v>
      </c>
      <c r="O71" s="372">
        <f t="shared" si="13"/>
        <v>-5.4602702181575697</v>
      </c>
    </row>
    <row r="72" spans="1:15">
      <c r="A72" s="373">
        <v>35370</v>
      </c>
      <c r="B72" s="372">
        <v>-124.59152798876499</v>
      </c>
      <c r="C72" s="372">
        <f t="shared" si="14"/>
        <v>-21.811000084583998</v>
      </c>
      <c r="D72" s="372">
        <f t="shared" si="15"/>
        <v>-31.342972180403802</v>
      </c>
      <c r="E72" s="372">
        <f t="shared" si="16"/>
        <v>39.6599557237775</v>
      </c>
      <c r="F72" s="372">
        <f t="shared" si="17"/>
        <v>-15.335116372046</v>
      </c>
      <c r="G72" s="372">
        <f t="shared" ref="G72:G124" si="18">B67</f>
        <v>-45.072488467865</v>
      </c>
      <c r="H72" s="372">
        <f t="shared" si="6"/>
        <v>-85.592960563682198</v>
      </c>
      <c r="I72" s="372">
        <f t="shared" si="7"/>
        <v>-140.009732659506</v>
      </c>
      <c r="J72" s="372">
        <f t="shared" si="8"/>
        <v>-188.69356058999301</v>
      </c>
      <c r="K72" s="372">
        <f t="shared" si="9"/>
        <v>-82.7186514990821</v>
      </c>
      <c r="L72" s="372">
        <f t="shared" si="10"/>
        <v>-104.742833317259</v>
      </c>
      <c r="M72" s="372">
        <f t="shared" si="11"/>
        <v>-72.391086505646598</v>
      </c>
      <c r="N72" s="372">
        <f t="shared" si="12"/>
        <v>-19.2741144098181</v>
      </c>
      <c r="O72" s="372">
        <f t="shared" si="13"/>
        <v>-53.938442313987402</v>
      </c>
    </row>
    <row r="73" spans="1:15">
      <c r="A73" s="373">
        <v>35400</v>
      </c>
      <c r="B73" s="372">
        <v>-39.151355892943897</v>
      </c>
      <c r="C73" s="372">
        <f t="shared" si="14"/>
        <v>-124.59152798876499</v>
      </c>
      <c r="D73" s="372">
        <f t="shared" si="15"/>
        <v>-21.811000084583998</v>
      </c>
      <c r="E73" s="372">
        <f t="shared" si="16"/>
        <v>-31.342972180403802</v>
      </c>
      <c r="F73" s="372">
        <f t="shared" si="17"/>
        <v>39.6599557237775</v>
      </c>
      <c r="G73" s="372">
        <f t="shared" si="18"/>
        <v>-15.335116372046</v>
      </c>
      <c r="H73" s="372">
        <f t="shared" ref="H73:H124" si="19">B67</f>
        <v>-45.072488467865</v>
      </c>
      <c r="I73" s="372">
        <f t="shared" si="7"/>
        <v>-85.592960563682198</v>
      </c>
      <c r="J73" s="372">
        <f t="shared" si="8"/>
        <v>-140.009732659506</v>
      </c>
      <c r="K73" s="372">
        <f t="shared" si="9"/>
        <v>-188.69356058999301</v>
      </c>
      <c r="L73" s="372">
        <f t="shared" si="10"/>
        <v>-82.7186514990821</v>
      </c>
      <c r="M73" s="372">
        <f t="shared" si="11"/>
        <v>-104.742833317259</v>
      </c>
      <c r="N73" s="372">
        <f t="shared" si="12"/>
        <v>-72.391086505646598</v>
      </c>
      <c r="O73" s="372">
        <f t="shared" si="13"/>
        <v>-19.2741144098181</v>
      </c>
    </row>
    <row r="74" spans="1:15">
      <c r="A74" s="373">
        <v>35431</v>
      </c>
      <c r="B74" s="372">
        <v>-101.718958512906</v>
      </c>
      <c r="C74" s="372">
        <f t="shared" si="14"/>
        <v>-39.151355892943897</v>
      </c>
      <c r="D74" s="372">
        <f t="shared" si="15"/>
        <v>-124.59152798876499</v>
      </c>
      <c r="E74" s="372">
        <f t="shared" si="16"/>
        <v>-21.811000084583998</v>
      </c>
      <c r="F74" s="372">
        <f t="shared" si="17"/>
        <v>-31.342972180403802</v>
      </c>
      <c r="G74" s="372">
        <f t="shared" si="18"/>
        <v>39.6599557237775</v>
      </c>
      <c r="H74" s="372">
        <f t="shared" si="19"/>
        <v>-15.335116372046</v>
      </c>
      <c r="I74" s="372">
        <f t="shared" ref="I74:I124" si="20">B67</f>
        <v>-45.072488467865</v>
      </c>
      <c r="J74" s="372">
        <f t="shared" si="8"/>
        <v>-85.592960563682198</v>
      </c>
      <c r="K74" s="372">
        <f t="shared" si="9"/>
        <v>-140.009732659506</v>
      </c>
      <c r="L74" s="372">
        <f t="shared" si="10"/>
        <v>-188.69356058999301</v>
      </c>
      <c r="M74" s="372">
        <f t="shared" si="11"/>
        <v>-82.7186514990821</v>
      </c>
      <c r="N74" s="372">
        <f t="shared" si="12"/>
        <v>-104.742833317259</v>
      </c>
      <c r="O74" s="372">
        <f t="shared" si="13"/>
        <v>-72.391086505646598</v>
      </c>
    </row>
    <row r="75" spans="1:15">
      <c r="A75" s="373">
        <v>35462</v>
      </c>
      <c r="B75" s="372">
        <v>-85.144632503079706</v>
      </c>
      <c r="C75" s="372">
        <f t="shared" si="14"/>
        <v>-101.718958512906</v>
      </c>
      <c r="D75" s="372">
        <f t="shared" si="15"/>
        <v>-39.151355892943897</v>
      </c>
      <c r="E75" s="372">
        <f t="shared" si="16"/>
        <v>-124.59152798876499</v>
      </c>
      <c r="F75" s="372">
        <f t="shared" si="17"/>
        <v>-21.811000084583998</v>
      </c>
      <c r="G75" s="372">
        <f t="shared" si="18"/>
        <v>-31.342972180403802</v>
      </c>
      <c r="H75" s="372">
        <f t="shared" si="19"/>
        <v>39.6599557237775</v>
      </c>
      <c r="I75" s="372">
        <f t="shared" si="20"/>
        <v>-15.335116372046</v>
      </c>
      <c r="J75" s="372">
        <f t="shared" ref="J75:J124" si="21">B67</f>
        <v>-45.072488467865</v>
      </c>
      <c r="K75" s="372">
        <f t="shared" si="9"/>
        <v>-85.592960563682198</v>
      </c>
      <c r="L75" s="372">
        <f t="shared" si="10"/>
        <v>-140.009732659506</v>
      </c>
      <c r="M75" s="372">
        <f t="shared" si="11"/>
        <v>-188.69356058999301</v>
      </c>
      <c r="N75" s="372">
        <f t="shared" si="12"/>
        <v>-82.7186514990821</v>
      </c>
      <c r="O75" s="372">
        <f t="shared" si="13"/>
        <v>-104.742833317259</v>
      </c>
    </row>
    <row r="76" spans="1:15">
      <c r="A76" s="373">
        <v>35490</v>
      </c>
      <c r="B76" s="372">
        <v>-54.468397402341203</v>
      </c>
      <c r="C76" s="372">
        <f t="shared" si="14"/>
        <v>-85.144632503079706</v>
      </c>
      <c r="D76" s="372">
        <f t="shared" si="15"/>
        <v>-101.718958512906</v>
      </c>
      <c r="E76" s="372">
        <f t="shared" si="16"/>
        <v>-39.151355892943897</v>
      </c>
      <c r="F76" s="372">
        <f t="shared" si="17"/>
        <v>-124.59152798876499</v>
      </c>
      <c r="G76" s="372">
        <f t="shared" si="18"/>
        <v>-21.811000084583998</v>
      </c>
      <c r="H76" s="372">
        <f t="shared" si="19"/>
        <v>-31.342972180403802</v>
      </c>
      <c r="I76" s="372">
        <f t="shared" si="20"/>
        <v>39.6599557237775</v>
      </c>
      <c r="J76" s="372">
        <f t="shared" si="21"/>
        <v>-15.335116372046</v>
      </c>
      <c r="K76" s="372">
        <f t="shared" ref="K76:K124" si="22">B67</f>
        <v>-45.072488467865</v>
      </c>
      <c r="L76" s="372">
        <f t="shared" si="10"/>
        <v>-85.592960563682198</v>
      </c>
      <c r="M76" s="372">
        <f t="shared" si="11"/>
        <v>-140.009732659506</v>
      </c>
      <c r="N76" s="372">
        <f t="shared" si="12"/>
        <v>-188.69356058999301</v>
      </c>
      <c r="O76" s="372">
        <f t="shared" si="13"/>
        <v>-82.7186514990821</v>
      </c>
    </row>
    <row r="77" spans="1:15">
      <c r="A77" s="373">
        <v>35521</v>
      </c>
      <c r="B77" s="372">
        <v>-110.00542528020399</v>
      </c>
      <c r="C77" s="372">
        <f t="shared" si="14"/>
        <v>-54.468397402341203</v>
      </c>
      <c r="D77" s="372">
        <f t="shared" si="15"/>
        <v>-85.144632503079706</v>
      </c>
      <c r="E77" s="372">
        <f t="shared" si="16"/>
        <v>-101.718958512906</v>
      </c>
      <c r="F77" s="372">
        <f t="shared" si="17"/>
        <v>-39.151355892943897</v>
      </c>
      <c r="G77" s="372">
        <f t="shared" si="18"/>
        <v>-124.59152798876499</v>
      </c>
      <c r="H77" s="372">
        <f t="shared" si="19"/>
        <v>-21.811000084583998</v>
      </c>
      <c r="I77" s="372">
        <f t="shared" si="20"/>
        <v>-31.342972180403802</v>
      </c>
      <c r="J77" s="372">
        <f t="shared" si="21"/>
        <v>39.6599557237775</v>
      </c>
      <c r="K77" s="372">
        <f t="shared" si="22"/>
        <v>-15.335116372046</v>
      </c>
      <c r="L77" s="372">
        <f t="shared" ref="L77:L124" si="23">B67</f>
        <v>-45.072488467865</v>
      </c>
      <c r="M77" s="372">
        <f t="shared" si="11"/>
        <v>-85.592960563682198</v>
      </c>
      <c r="N77" s="372">
        <f t="shared" si="12"/>
        <v>-140.009732659506</v>
      </c>
      <c r="O77" s="372">
        <f t="shared" si="13"/>
        <v>-188.69356058999301</v>
      </c>
    </row>
    <row r="78" spans="1:15">
      <c r="A78" s="373">
        <v>35551</v>
      </c>
      <c r="B78" s="372">
        <v>-37.023508992730697</v>
      </c>
      <c r="C78" s="372">
        <f t="shared" si="14"/>
        <v>-110.00542528020399</v>
      </c>
      <c r="D78" s="372">
        <f t="shared" si="15"/>
        <v>-54.468397402341203</v>
      </c>
      <c r="E78" s="372">
        <f t="shared" si="16"/>
        <v>-85.144632503079706</v>
      </c>
      <c r="F78" s="372">
        <f t="shared" si="17"/>
        <v>-101.718958512906</v>
      </c>
      <c r="G78" s="372">
        <f t="shared" si="18"/>
        <v>-39.151355892943897</v>
      </c>
      <c r="H78" s="372">
        <f t="shared" si="19"/>
        <v>-124.59152798876499</v>
      </c>
      <c r="I78" s="372">
        <f t="shared" si="20"/>
        <v>-21.811000084583998</v>
      </c>
      <c r="J78" s="372">
        <f t="shared" si="21"/>
        <v>-31.342972180403802</v>
      </c>
      <c r="K78" s="372">
        <f t="shared" si="22"/>
        <v>39.6599557237775</v>
      </c>
      <c r="L78" s="372">
        <f t="shared" si="23"/>
        <v>-15.335116372046</v>
      </c>
      <c r="M78" s="372">
        <f t="shared" ref="M78:M124" si="24">B67</f>
        <v>-45.072488467865</v>
      </c>
      <c r="N78" s="372">
        <f t="shared" si="12"/>
        <v>-85.592960563682198</v>
      </c>
      <c r="O78" s="372">
        <f t="shared" si="13"/>
        <v>-140.009732659506</v>
      </c>
    </row>
    <row r="79" spans="1:15">
      <c r="A79" s="373">
        <v>35582</v>
      </c>
      <c r="B79" s="372">
        <v>18.449107294736201</v>
      </c>
      <c r="C79" s="372">
        <f t="shared" si="14"/>
        <v>-37.023508992730697</v>
      </c>
      <c r="D79" s="372">
        <f t="shared" si="15"/>
        <v>-110.00542528020399</v>
      </c>
      <c r="E79" s="372">
        <f t="shared" si="16"/>
        <v>-54.468397402341203</v>
      </c>
      <c r="F79" s="372">
        <f t="shared" si="17"/>
        <v>-85.144632503079706</v>
      </c>
      <c r="G79" s="372">
        <f t="shared" si="18"/>
        <v>-101.718958512906</v>
      </c>
      <c r="H79" s="372">
        <f t="shared" si="19"/>
        <v>-39.151355892943897</v>
      </c>
      <c r="I79" s="372">
        <f t="shared" si="20"/>
        <v>-124.59152798876499</v>
      </c>
      <c r="J79" s="372">
        <f t="shared" si="21"/>
        <v>-21.811000084583998</v>
      </c>
      <c r="K79" s="372">
        <f t="shared" si="22"/>
        <v>-31.342972180403802</v>
      </c>
      <c r="L79" s="372">
        <f t="shared" si="23"/>
        <v>39.6599557237775</v>
      </c>
      <c r="M79" s="372">
        <f t="shared" si="24"/>
        <v>-15.335116372046</v>
      </c>
      <c r="N79" s="372">
        <f t="shared" ref="N79:N124" si="25">B67</f>
        <v>-45.072488467865</v>
      </c>
      <c r="O79" s="372">
        <f t="shared" si="13"/>
        <v>-85.592960563682198</v>
      </c>
    </row>
    <row r="80" spans="1:15">
      <c r="A80" s="373">
        <v>35612</v>
      </c>
      <c r="B80" s="372">
        <v>62.814623582204803</v>
      </c>
      <c r="C80" s="372">
        <f t="shared" si="14"/>
        <v>18.449107294736201</v>
      </c>
      <c r="D80" s="372">
        <f t="shared" si="15"/>
        <v>-37.023508992730697</v>
      </c>
      <c r="E80" s="372">
        <f t="shared" si="16"/>
        <v>-110.00542528020399</v>
      </c>
      <c r="F80" s="372">
        <f t="shared" si="17"/>
        <v>-54.468397402341203</v>
      </c>
      <c r="G80" s="372">
        <f t="shared" si="18"/>
        <v>-85.144632503079706</v>
      </c>
      <c r="H80" s="372">
        <f t="shared" si="19"/>
        <v>-101.718958512906</v>
      </c>
      <c r="I80" s="372">
        <f t="shared" si="20"/>
        <v>-39.151355892943897</v>
      </c>
      <c r="J80" s="372">
        <f t="shared" si="21"/>
        <v>-124.59152798876499</v>
      </c>
      <c r="K80" s="372">
        <f t="shared" si="22"/>
        <v>-21.811000084583998</v>
      </c>
      <c r="L80" s="372">
        <f t="shared" si="23"/>
        <v>-31.342972180403802</v>
      </c>
      <c r="M80" s="372">
        <f t="shared" si="24"/>
        <v>39.6599557237775</v>
      </c>
      <c r="N80" s="372">
        <f t="shared" si="25"/>
        <v>-15.335116372046</v>
      </c>
      <c r="O80" s="372">
        <f t="shared" ref="O80:O124" si="26">B67</f>
        <v>-45.072488467865</v>
      </c>
    </row>
    <row r="81" spans="1:15">
      <c r="A81" s="373">
        <v>35643</v>
      </c>
      <c r="B81" s="372">
        <v>83.130839869678297</v>
      </c>
      <c r="C81" s="372">
        <f t="shared" si="14"/>
        <v>62.814623582204803</v>
      </c>
      <c r="D81" s="372">
        <f t="shared" si="15"/>
        <v>18.449107294736201</v>
      </c>
      <c r="E81" s="372">
        <f t="shared" si="16"/>
        <v>-37.023508992730697</v>
      </c>
      <c r="F81" s="372">
        <f t="shared" si="17"/>
        <v>-110.00542528020399</v>
      </c>
      <c r="G81" s="372">
        <f t="shared" si="18"/>
        <v>-54.468397402341203</v>
      </c>
      <c r="H81" s="372">
        <f t="shared" si="19"/>
        <v>-85.144632503079706</v>
      </c>
      <c r="I81" s="372">
        <f t="shared" si="20"/>
        <v>-101.718958512906</v>
      </c>
      <c r="J81" s="372">
        <f t="shared" si="21"/>
        <v>-39.151355892943897</v>
      </c>
      <c r="K81" s="372">
        <f t="shared" si="22"/>
        <v>-124.59152798876499</v>
      </c>
      <c r="L81" s="372">
        <f t="shared" si="23"/>
        <v>-21.811000084583998</v>
      </c>
      <c r="M81" s="372">
        <f t="shared" si="24"/>
        <v>-31.342972180403802</v>
      </c>
      <c r="N81" s="372">
        <f t="shared" si="25"/>
        <v>39.6599557237775</v>
      </c>
      <c r="O81" s="372">
        <f t="shared" si="26"/>
        <v>-15.335116372046</v>
      </c>
    </row>
    <row r="82" spans="1:15">
      <c r="A82" s="373">
        <v>35674</v>
      </c>
      <c r="B82" s="372">
        <v>9.7110561571464498</v>
      </c>
      <c r="C82" s="372">
        <f t="shared" si="14"/>
        <v>83.130839869678297</v>
      </c>
      <c r="D82" s="372">
        <f t="shared" si="15"/>
        <v>62.814623582204803</v>
      </c>
      <c r="E82" s="372">
        <f t="shared" si="16"/>
        <v>18.449107294736201</v>
      </c>
      <c r="F82" s="372">
        <f t="shared" si="17"/>
        <v>-37.023508992730697</v>
      </c>
      <c r="G82" s="372">
        <f t="shared" si="18"/>
        <v>-110.00542528020399</v>
      </c>
      <c r="H82" s="372">
        <f t="shared" si="19"/>
        <v>-54.468397402341203</v>
      </c>
      <c r="I82" s="372">
        <f t="shared" si="20"/>
        <v>-85.144632503079706</v>
      </c>
      <c r="J82" s="372">
        <f t="shared" si="21"/>
        <v>-101.718958512906</v>
      </c>
      <c r="K82" s="372">
        <f t="shared" si="22"/>
        <v>-39.151355892943897</v>
      </c>
      <c r="L82" s="372">
        <f t="shared" si="23"/>
        <v>-124.59152798876499</v>
      </c>
      <c r="M82" s="372">
        <f t="shared" si="24"/>
        <v>-21.811000084583998</v>
      </c>
      <c r="N82" s="372">
        <f t="shared" si="25"/>
        <v>-31.342972180403802</v>
      </c>
      <c r="O82" s="372">
        <f t="shared" si="26"/>
        <v>39.6599557237775</v>
      </c>
    </row>
    <row r="83" spans="1:15">
      <c r="A83" s="373">
        <v>35704</v>
      </c>
      <c r="B83" s="372">
        <v>40.664172444616</v>
      </c>
      <c r="C83" s="372">
        <f t="shared" si="14"/>
        <v>9.7110561571464498</v>
      </c>
      <c r="D83" s="372">
        <f t="shared" si="15"/>
        <v>83.130839869678297</v>
      </c>
      <c r="E83" s="372">
        <f t="shared" si="16"/>
        <v>62.814623582204803</v>
      </c>
      <c r="F83" s="372">
        <f t="shared" si="17"/>
        <v>18.449107294736201</v>
      </c>
      <c r="G83" s="372">
        <f t="shared" si="18"/>
        <v>-37.023508992730697</v>
      </c>
      <c r="H83" s="372">
        <f t="shared" si="19"/>
        <v>-110.00542528020399</v>
      </c>
      <c r="I83" s="372">
        <f t="shared" si="20"/>
        <v>-54.468397402341203</v>
      </c>
      <c r="J83" s="372">
        <f t="shared" si="21"/>
        <v>-85.144632503079706</v>
      </c>
      <c r="K83" s="372">
        <f t="shared" si="22"/>
        <v>-101.718958512906</v>
      </c>
      <c r="L83" s="372">
        <f t="shared" si="23"/>
        <v>-39.151355892943897</v>
      </c>
      <c r="M83" s="372">
        <f t="shared" si="24"/>
        <v>-124.59152798876499</v>
      </c>
      <c r="N83" s="372">
        <f t="shared" si="25"/>
        <v>-21.811000084583998</v>
      </c>
      <c r="O83" s="372">
        <f t="shared" si="26"/>
        <v>-31.342972180403802</v>
      </c>
    </row>
    <row r="84" spans="1:15">
      <c r="A84" s="373">
        <v>35735</v>
      </c>
      <c r="B84" s="372">
        <v>5.1877887320843001</v>
      </c>
      <c r="C84" s="372">
        <f t="shared" si="14"/>
        <v>40.664172444616</v>
      </c>
      <c r="D84" s="372">
        <f t="shared" si="15"/>
        <v>9.7110561571464498</v>
      </c>
      <c r="E84" s="372">
        <f t="shared" si="16"/>
        <v>83.130839869678297</v>
      </c>
      <c r="F84" s="372">
        <f t="shared" si="17"/>
        <v>62.814623582204803</v>
      </c>
      <c r="G84" s="372">
        <f t="shared" si="18"/>
        <v>18.449107294736201</v>
      </c>
      <c r="H84" s="372">
        <f t="shared" si="19"/>
        <v>-37.023508992730697</v>
      </c>
      <c r="I84" s="372">
        <f t="shared" si="20"/>
        <v>-110.00542528020399</v>
      </c>
      <c r="J84" s="372">
        <f t="shared" si="21"/>
        <v>-54.468397402341203</v>
      </c>
      <c r="K84" s="372">
        <f t="shared" si="22"/>
        <v>-85.144632503079706</v>
      </c>
      <c r="L84" s="372">
        <f t="shared" si="23"/>
        <v>-101.718958512906</v>
      </c>
      <c r="M84" s="372">
        <f t="shared" si="24"/>
        <v>-39.151355892943897</v>
      </c>
      <c r="N84" s="372">
        <f t="shared" si="25"/>
        <v>-124.59152798876499</v>
      </c>
      <c r="O84" s="372">
        <f t="shared" si="26"/>
        <v>-21.811000084583998</v>
      </c>
    </row>
    <row r="85" spans="1:15">
      <c r="A85" s="373">
        <v>35765</v>
      </c>
      <c r="B85" s="372">
        <v>29.1991050195554</v>
      </c>
      <c r="C85" s="372">
        <f t="shared" si="14"/>
        <v>5.1877887320843001</v>
      </c>
      <c r="D85" s="372">
        <f t="shared" si="15"/>
        <v>40.664172444616</v>
      </c>
      <c r="E85" s="372">
        <f t="shared" si="16"/>
        <v>9.7110561571464498</v>
      </c>
      <c r="F85" s="372">
        <f t="shared" si="17"/>
        <v>83.130839869678297</v>
      </c>
      <c r="G85" s="372">
        <f t="shared" si="18"/>
        <v>62.814623582204803</v>
      </c>
      <c r="H85" s="372">
        <f t="shared" si="19"/>
        <v>18.449107294736201</v>
      </c>
      <c r="I85" s="372">
        <f t="shared" si="20"/>
        <v>-37.023508992730697</v>
      </c>
      <c r="J85" s="372">
        <f t="shared" si="21"/>
        <v>-110.00542528020399</v>
      </c>
      <c r="K85" s="372">
        <f t="shared" si="22"/>
        <v>-54.468397402341203</v>
      </c>
      <c r="L85" s="372">
        <f t="shared" si="23"/>
        <v>-85.144632503079706</v>
      </c>
      <c r="M85" s="372">
        <f t="shared" si="24"/>
        <v>-101.718958512906</v>
      </c>
      <c r="N85" s="372">
        <f t="shared" si="25"/>
        <v>-39.151355892943897</v>
      </c>
      <c r="O85" s="372">
        <f t="shared" si="26"/>
        <v>-124.59152798876499</v>
      </c>
    </row>
    <row r="86" spans="1:15">
      <c r="A86" s="373">
        <v>35796</v>
      </c>
      <c r="B86" s="372">
        <v>42.722646591242203</v>
      </c>
      <c r="C86" s="372">
        <f t="shared" si="14"/>
        <v>29.1991050195554</v>
      </c>
      <c r="D86" s="372">
        <f t="shared" si="15"/>
        <v>5.1877887320843001</v>
      </c>
      <c r="E86" s="372">
        <f t="shared" si="16"/>
        <v>40.664172444616</v>
      </c>
      <c r="F86" s="372">
        <f t="shared" si="17"/>
        <v>9.7110561571464498</v>
      </c>
      <c r="G86" s="372">
        <f t="shared" si="18"/>
        <v>83.130839869678297</v>
      </c>
      <c r="H86" s="372">
        <f t="shared" si="19"/>
        <v>62.814623582204803</v>
      </c>
      <c r="I86" s="372">
        <f t="shared" si="20"/>
        <v>18.449107294736201</v>
      </c>
      <c r="J86" s="372">
        <f t="shared" si="21"/>
        <v>-37.023508992730697</v>
      </c>
      <c r="K86" s="372">
        <f t="shared" si="22"/>
        <v>-110.00542528020399</v>
      </c>
      <c r="L86" s="372">
        <f t="shared" si="23"/>
        <v>-54.468397402341203</v>
      </c>
      <c r="M86" s="372">
        <f t="shared" si="24"/>
        <v>-85.144632503079706</v>
      </c>
      <c r="N86" s="372">
        <f t="shared" si="25"/>
        <v>-101.718958512906</v>
      </c>
      <c r="O86" s="372">
        <f t="shared" si="26"/>
        <v>-39.151355892943897</v>
      </c>
    </row>
    <row r="87" spans="1:15">
      <c r="A87" s="373">
        <v>35827</v>
      </c>
      <c r="B87" s="372">
        <v>-74.901883207281102</v>
      </c>
      <c r="C87" s="372">
        <f t="shared" si="14"/>
        <v>42.722646591242203</v>
      </c>
      <c r="D87" s="372">
        <f t="shared" si="15"/>
        <v>29.1991050195554</v>
      </c>
      <c r="E87" s="372">
        <f t="shared" si="16"/>
        <v>5.1877887320843001</v>
      </c>
      <c r="F87" s="372">
        <f t="shared" si="17"/>
        <v>40.664172444616</v>
      </c>
      <c r="G87" s="372">
        <f t="shared" si="18"/>
        <v>9.7110561571464498</v>
      </c>
      <c r="H87" s="372">
        <f t="shared" si="19"/>
        <v>83.130839869678297</v>
      </c>
      <c r="I87" s="372">
        <f t="shared" si="20"/>
        <v>62.814623582204803</v>
      </c>
      <c r="J87" s="372">
        <f t="shared" si="21"/>
        <v>18.449107294736201</v>
      </c>
      <c r="K87" s="372">
        <f t="shared" si="22"/>
        <v>-37.023508992730697</v>
      </c>
      <c r="L87" s="372">
        <f t="shared" si="23"/>
        <v>-110.00542528020399</v>
      </c>
      <c r="M87" s="372">
        <f t="shared" si="24"/>
        <v>-54.468397402341203</v>
      </c>
      <c r="N87" s="372">
        <f t="shared" si="25"/>
        <v>-85.144632503079706</v>
      </c>
      <c r="O87" s="372">
        <f t="shared" si="26"/>
        <v>-101.718958512906</v>
      </c>
    </row>
    <row r="88" spans="1:15">
      <c r="A88" s="373">
        <v>35855</v>
      </c>
      <c r="B88" s="372">
        <v>-39.565503914892503</v>
      </c>
      <c r="C88" s="372">
        <f t="shared" si="14"/>
        <v>-74.901883207281102</v>
      </c>
      <c r="D88" s="372">
        <f t="shared" si="15"/>
        <v>42.722646591242203</v>
      </c>
      <c r="E88" s="372">
        <f t="shared" si="16"/>
        <v>29.1991050195554</v>
      </c>
      <c r="F88" s="372">
        <f t="shared" si="17"/>
        <v>5.1877887320843001</v>
      </c>
      <c r="G88" s="372">
        <f t="shared" si="18"/>
        <v>40.664172444616</v>
      </c>
      <c r="H88" s="372">
        <f t="shared" si="19"/>
        <v>9.7110561571464498</v>
      </c>
      <c r="I88" s="372">
        <f t="shared" si="20"/>
        <v>83.130839869678297</v>
      </c>
      <c r="J88" s="372">
        <f t="shared" si="21"/>
        <v>62.814623582204803</v>
      </c>
      <c r="K88" s="372">
        <f t="shared" si="22"/>
        <v>18.449107294736201</v>
      </c>
      <c r="L88" s="372">
        <f t="shared" si="23"/>
        <v>-37.023508992730697</v>
      </c>
      <c r="M88" s="372">
        <f t="shared" si="24"/>
        <v>-110.00542528020399</v>
      </c>
      <c r="N88" s="372">
        <f t="shared" si="25"/>
        <v>-54.468397402341203</v>
      </c>
      <c r="O88" s="372">
        <f t="shared" si="26"/>
        <v>-85.144632503079706</v>
      </c>
    </row>
    <row r="89" spans="1:15">
      <c r="A89" s="373">
        <v>35886</v>
      </c>
      <c r="B89" s="372">
        <v>26.648612398893398</v>
      </c>
      <c r="C89" s="372">
        <f t="shared" si="14"/>
        <v>-39.565503914892503</v>
      </c>
      <c r="D89" s="372">
        <f t="shared" si="15"/>
        <v>-74.901883207281102</v>
      </c>
      <c r="E89" s="372">
        <f t="shared" si="16"/>
        <v>42.722646591242203</v>
      </c>
      <c r="F89" s="372">
        <f t="shared" si="17"/>
        <v>29.1991050195554</v>
      </c>
      <c r="G89" s="372">
        <f t="shared" si="18"/>
        <v>5.1877887320843001</v>
      </c>
      <c r="H89" s="372">
        <f t="shared" si="19"/>
        <v>40.664172444616</v>
      </c>
      <c r="I89" s="372">
        <f t="shared" si="20"/>
        <v>9.7110561571464498</v>
      </c>
      <c r="J89" s="372">
        <f t="shared" si="21"/>
        <v>83.130839869678297</v>
      </c>
      <c r="K89" s="372">
        <f t="shared" si="22"/>
        <v>62.814623582204803</v>
      </c>
      <c r="L89" s="372">
        <f t="shared" si="23"/>
        <v>18.449107294736201</v>
      </c>
      <c r="M89" s="372">
        <f t="shared" si="24"/>
        <v>-37.023508992730697</v>
      </c>
      <c r="N89" s="372">
        <f t="shared" si="25"/>
        <v>-110.00542528020399</v>
      </c>
      <c r="O89" s="372">
        <f t="shared" si="26"/>
        <v>-54.468397402341203</v>
      </c>
    </row>
    <row r="90" spans="1:15">
      <c r="A90" s="373">
        <v>35916</v>
      </c>
      <c r="B90" s="372">
        <v>8.2306728780167706</v>
      </c>
      <c r="C90" s="372">
        <f t="shared" si="14"/>
        <v>26.648612398893398</v>
      </c>
      <c r="D90" s="372">
        <f t="shared" si="15"/>
        <v>-39.565503914892503</v>
      </c>
      <c r="E90" s="372">
        <f t="shared" si="16"/>
        <v>-74.901883207281102</v>
      </c>
      <c r="F90" s="372">
        <f t="shared" si="17"/>
        <v>42.722646591242203</v>
      </c>
      <c r="G90" s="372">
        <f t="shared" si="18"/>
        <v>29.1991050195554</v>
      </c>
      <c r="H90" s="372">
        <f t="shared" si="19"/>
        <v>5.1877887320843001</v>
      </c>
      <c r="I90" s="372">
        <f t="shared" si="20"/>
        <v>40.664172444616</v>
      </c>
      <c r="J90" s="372">
        <f t="shared" si="21"/>
        <v>9.7110561571464498</v>
      </c>
      <c r="K90" s="372">
        <f t="shared" si="22"/>
        <v>83.130839869678297</v>
      </c>
      <c r="L90" s="372">
        <f t="shared" si="23"/>
        <v>62.814623582204803</v>
      </c>
      <c r="M90" s="372">
        <f t="shared" si="24"/>
        <v>18.449107294736201</v>
      </c>
      <c r="N90" s="372">
        <f t="shared" si="25"/>
        <v>-37.023508992730697</v>
      </c>
      <c r="O90" s="372">
        <f t="shared" si="26"/>
        <v>-110.00542528020399</v>
      </c>
    </row>
    <row r="91" spans="1:15">
      <c r="A91" s="373">
        <v>35947</v>
      </c>
      <c r="B91" s="372">
        <v>32.023433357133399</v>
      </c>
      <c r="C91" s="372">
        <f t="shared" si="14"/>
        <v>8.2306728780167706</v>
      </c>
      <c r="D91" s="372">
        <f t="shared" si="15"/>
        <v>26.648612398893398</v>
      </c>
      <c r="E91" s="372">
        <f t="shared" si="16"/>
        <v>-39.565503914892503</v>
      </c>
      <c r="F91" s="372">
        <f t="shared" si="17"/>
        <v>-74.901883207281102</v>
      </c>
      <c r="G91" s="372">
        <f t="shared" si="18"/>
        <v>42.722646591242203</v>
      </c>
      <c r="H91" s="372">
        <f t="shared" si="19"/>
        <v>29.1991050195554</v>
      </c>
      <c r="I91" s="372">
        <f t="shared" si="20"/>
        <v>5.1877887320843001</v>
      </c>
      <c r="J91" s="372">
        <f t="shared" si="21"/>
        <v>40.664172444616</v>
      </c>
      <c r="K91" s="372">
        <f t="shared" si="22"/>
        <v>9.7110561571464498</v>
      </c>
      <c r="L91" s="372">
        <f t="shared" si="23"/>
        <v>83.130839869678297</v>
      </c>
      <c r="M91" s="372">
        <f t="shared" si="24"/>
        <v>62.814623582204803</v>
      </c>
      <c r="N91" s="372">
        <f t="shared" si="25"/>
        <v>18.449107294736201</v>
      </c>
      <c r="O91" s="372">
        <f t="shared" si="26"/>
        <v>-37.023508992730697</v>
      </c>
    </row>
    <row r="92" spans="1:15">
      <c r="A92" s="373">
        <v>35977</v>
      </c>
      <c r="B92" s="372">
        <v>58.7200938362516</v>
      </c>
      <c r="C92" s="372">
        <f t="shared" si="14"/>
        <v>32.023433357133399</v>
      </c>
      <c r="D92" s="372">
        <f t="shared" si="15"/>
        <v>8.2306728780167706</v>
      </c>
      <c r="E92" s="372">
        <f t="shared" si="16"/>
        <v>26.648612398893398</v>
      </c>
      <c r="F92" s="372">
        <f t="shared" si="17"/>
        <v>-39.565503914892503</v>
      </c>
      <c r="G92" s="372">
        <f t="shared" si="18"/>
        <v>-74.901883207281102</v>
      </c>
      <c r="H92" s="372">
        <f t="shared" si="19"/>
        <v>42.722646591242203</v>
      </c>
      <c r="I92" s="372">
        <f t="shared" si="20"/>
        <v>29.1991050195554</v>
      </c>
      <c r="J92" s="372">
        <f t="shared" si="21"/>
        <v>5.1877887320843001</v>
      </c>
      <c r="K92" s="372">
        <f t="shared" si="22"/>
        <v>40.664172444616</v>
      </c>
      <c r="L92" s="372">
        <f t="shared" si="23"/>
        <v>9.7110561571464498</v>
      </c>
      <c r="M92" s="372">
        <f t="shared" si="24"/>
        <v>83.130839869678297</v>
      </c>
      <c r="N92" s="372">
        <f t="shared" si="25"/>
        <v>62.814623582204803</v>
      </c>
      <c r="O92" s="372">
        <f t="shared" si="26"/>
        <v>18.449107294736201</v>
      </c>
    </row>
    <row r="93" spans="1:15">
      <c r="A93" s="373">
        <v>36008</v>
      </c>
      <c r="B93" s="372">
        <v>-42.784545684625002</v>
      </c>
      <c r="C93" s="372">
        <f t="shared" si="14"/>
        <v>58.7200938362516</v>
      </c>
      <c r="D93" s="372">
        <f t="shared" si="15"/>
        <v>32.023433357133399</v>
      </c>
      <c r="E93" s="372">
        <f t="shared" si="16"/>
        <v>8.2306728780167706</v>
      </c>
      <c r="F93" s="372">
        <f t="shared" si="17"/>
        <v>26.648612398893398</v>
      </c>
      <c r="G93" s="372">
        <f t="shared" si="18"/>
        <v>-39.565503914892503</v>
      </c>
      <c r="H93" s="372">
        <f t="shared" si="19"/>
        <v>-74.901883207281102</v>
      </c>
      <c r="I93" s="372">
        <f t="shared" si="20"/>
        <v>42.722646591242203</v>
      </c>
      <c r="J93" s="372">
        <f t="shared" si="21"/>
        <v>29.1991050195554</v>
      </c>
      <c r="K93" s="372">
        <f t="shared" si="22"/>
        <v>5.1877887320843001</v>
      </c>
      <c r="L93" s="372">
        <f t="shared" si="23"/>
        <v>40.664172444616</v>
      </c>
      <c r="M93" s="372">
        <f t="shared" si="24"/>
        <v>9.7110561571464498</v>
      </c>
      <c r="N93" s="372">
        <f t="shared" si="25"/>
        <v>83.130839869678297</v>
      </c>
      <c r="O93" s="372">
        <f t="shared" si="26"/>
        <v>62.814623582204803</v>
      </c>
    </row>
    <row r="94" spans="1:15">
      <c r="A94" s="373">
        <v>36039</v>
      </c>
      <c r="B94" s="372">
        <v>22.420814794492799</v>
      </c>
      <c r="C94" s="372">
        <f t="shared" si="14"/>
        <v>-42.784545684625002</v>
      </c>
      <c r="D94" s="372">
        <f t="shared" si="15"/>
        <v>58.7200938362516</v>
      </c>
      <c r="E94" s="372">
        <f t="shared" si="16"/>
        <v>32.023433357133399</v>
      </c>
      <c r="F94" s="372">
        <f t="shared" si="17"/>
        <v>8.2306728780167706</v>
      </c>
      <c r="G94" s="372">
        <f t="shared" si="18"/>
        <v>26.648612398893398</v>
      </c>
      <c r="H94" s="372">
        <f t="shared" si="19"/>
        <v>-39.565503914892503</v>
      </c>
      <c r="I94" s="372">
        <f t="shared" si="20"/>
        <v>-74.901883207281102</v>
      </c>
      <c r="J94" s="372">
        <f t="shared" si="21"/>
        <v>42.722646591242203</v>
      </c>
      <c r="K94" s="372">
        <f t="shared" si="22"/>
        <v>29.1991050195554</v>
      </c>
      <c r="L94" s="372">
        <f t="shared" si="23"/>
        <v>5.1877887320843001</v>
      </c>
      <c r="M94" s="372">
        <f t="shared" si="24"/>
        <v>40.664172444616</v>
      </c>
      <c r="N94" s="372">
        <f t="shared" si="25"/>
        <v>9.7110561571464498</v>
      </c>
      <c r="O94" s="372">
        <f t="shared" si="26"/>
        <v>83.130839869678297</v>
      </c>
    </row>
    <row r="95" spans="1:15">
      <c r="A95" s="373">
        <v>36069</v>
      </c>
      <c r="B95" s="372">
        <v>15.807075273611799</v>
      </c>
      <c r="C95" s="372">
        <f t="shared" si="14"/>
        <v>22.420814794492799</v>
      </c>
      <c r="D95" s="372">
        <f t="shared" si="15"/>
        <v>-42.784545684625002</v>
      </c>
      <c r="E95" s="372">
        <f t="shared" si="16"/>
        <v>58.7200938362516</v>
      </c>
      <c r="F95" s="372">
        <f t="shared" si="17"/>
        <v>32.023433357133399</v>
      </c>
      <c r="G95" s="372">
        <f t="shared" si="18"/>
        <v>8.2306728780167706</v>
      </c>
      <c r="H95" s="372">
        <f t="shared" si="19"/>
        <v>26.648612398893398</v>
      </c>
      <c r="I95" s="372">
        <f t="shared" si="20"/>
        <v>-39.565503914892503</v>
      </c>
      <c r="J95" s="372">
        <f t="shared" si="21"/>
        <v>-74.901883207281102</v>
      </c>
      <c r="K95" s="372">
        <f t="shared" si="22"/>
        <v>42.722646591242203</v>
      </c>
      <c r="L95" s="372">
        <f t="shared" si="23"/>
        <v>29.1991050195554</v>
      </c>
      <c r="M95" s="372">
        <f t="shared" si="24"/>
        <v>5.1877887320843001</v>
      </c>
      <c r="N95" s="372">
        <f t="shared" si="25"/>
        <v>40.664172444616</v>
      </c>
      <c r="O95" s="372">
        <f t="shared" si="26"/>
        <v>9.7110561571464498</v>
      </c>
    </row>
    <row r="96" spans="1:15">
      <c r="A96" s="373">
        <v>36100</v>
      </c>
      <c r="B96" s="372">
        <v>45.654835752730101</v>
      </c>
      <c r="C96" s="372">
        <f t="shared" si="14"/>
        <v>15.807075273611799</v>
      </c>
      <c r="D96" s="372">
        <f t="shared" si="15"/>
        <v>22.420814794492799</v>
      </c>
      <c r="E96" s="372">
        <f t="shared" si="16"/>
        <v>-42.784545684625002</v>
      </c>
      <c r="F96" s="372">
        <f t="shared" si="17"/>
        <v>58.7200938362516</v>
      </c>
      <c r="G96" s="372">
        <f t="shared" si="18"/>
        <v>32.023433357133399</v>
      </c>
      <c r="H96" s="372">
        <f t="shared" si="19"/>
        <v>8.2306728780167706</v>
      </c>
      <c r="I96" s="372">
        <f t="shared" si="20"/>
        <v>26.648612398893398</v>
      </c>
      <c r="J96" s="372">
        <f t="shared" si="21"/>
        <v>-39.565503914892503</v>
      </c>
      <c r="K96" s="372">
        <f t="shared" si="22"/>
        <v>-74.901883207281102</v>
      </c>
      <c r="L96" s="372">
        <f t="shared" si="23"/>
        <v>42.722646591242203</v>
      </c>
      <c r="M96" s="372">
        <f t="shared" si="24"/>
        <v>29.1991050195554</v>
      </c>
      <c r="N96" s="372">
        <f t="shared" si="25"/>
        <v>5.1877887320843001</v>
      </c>
      <c r="O96" s="372">
        <f t="shared" si="26"/>
        <v>40.664172444616</v>
      </c>
    </row>
    <row r="97" spans="1:15">
      <c r="A97" s="373">
        <v>36130</v>
      </c>
      <c r="B97" s="372">
        <v>33.990296231850998</v>
      </c>
      <c r="C97" s="372">
        <f t="shared" si="14"/>
        <v>45.654835752730101</v>
      </c>
      <c r="D97" s="372">
        <f t="shared" si="15"/>
        <v>15.807075273611799</v>
      </c>
      <c r="E97" s="372">
        <f t="shared" si="16"/>
        <v>22.420814794492799</v>
      </c>
      <c r="F97" s="372">
        <f t="shared" si="17"/>
        <v>-42.784545684625002</v>
      </c>
      <c r="G97" s="372">
        <f t="shared" si="18"/>
        <v>58.7200938362516</v>
      </c>
      <c r="H97" s="372">
        <f t="shared" si="19"/>
        <v>32.023433357133399</v>
      </c>
      <c r="I97" s="372">
        <f t="shared" si="20"/>
        <v>8.2306728780167706</v>
      </c>
      <c r="J97" s="372">
        <f t="shared" si="21"/>
        <v>26.648612398893398</v>
      </c>
      <c r="K97" s="372">
        <f t="shared" si="22"/>
        <v>-39.565503914892503</v>
      </c>
      <c r="L97" s="372">
        <f t="shared" si="23"/>
        <v>-74.901883207281102</v>
      </c>
      <c r="M97" s="372">
        <f t="shared" si="24"/>
        <v>42.722646591242203</v>
      </c>
      <c r="N97" s="372">
        <f t="shared" si="25"/>
        <v>29.1991050195554</v>
      </c>
      <c r="O97" s="372">
        <f t="shared" si="26"/>
        <v>5.1877887320843001</v>
      </c>
    </row>
    <row r="98" spans="1:15">
      <c r="A98" s="373">
        <v>36161</v>
      </c>
      <c r="B98" s="372">
        <v>25.024981995187499</v>
      </c>
      <c r="C98" s="372">
        <f t="shared" si="14"/>
        <v>33.990296231850998</v>
      </c>
      <c r="D98" s="372">
        <f t="shared" si="15"/>
        <v>45.654835752730101</v>
      </c>
      <c r="E98" s="372">
        <f t="shared" si="16"/>
        <v>15.807075273611799</v>
      </c>
      <c r="F98" s="372">
        <f t="shared" si="17"/>
        <v>22.420814794492799</v>
      </c>
      <c r="G98" s="372">
        <f t="shared" si="18"/>
        <v>-42.784545684625002</v>
      </c>
      <c r="H98" s="372">
        <f t="shared" si="19"/>
        <v>58.7200938362516</v>
      </c>
      <c r="I98" s="372">
        <f t="shared" si="20"/>
        <v>32.023433357133399</v>
      </c>
      <c r="J98" s="372">
        <f t="shared" si="21"/>
        <v>8.2306728780167706</v>
      </c>
      <c r="K98" s="372">
        <f t="shared" si="22"/>
        <v>26.648612398893398</v>
      </c>
      <c r="L98" s="372">
        <f t="shared" si="23"/>
        <v>-39.565503914892503</v>
      </c>
      <c r="M98" s="372">
        <f t="shared" si="24"/>
        <v>-74.901883207281102</v>
      </c>
      <c r="N98" s="372">
        <f t="shared" si="25"/>
        <v>42.722646591242203</v>
      </c>
      <c r="O98" s="372">
        <f t="shared" si="26"/>
        <v>29.1991050195554</v>
      </c>
    </row>
    <row r="99" spans="1:15">
      <c r="A99" s="373">
        <v>36192</v>
      </c>
      <c r="B99" s="372">
        <v>12.958596388313699</v>
      </c>
      <c r="C99" s="372">
        <f t="shared" si="14"/>
        <v>25.024981995187499</v>
      </c>
      <c r="D99" s="372">
        <f t="shared" si="15"/>
        <v>33.990296231850998</v>
      </c>
      <c r="E99" s="372">
        <f t="shared" si="16"/>
        <v>45.654835752730101</v>
      </c>
      <c r="F99" s="372">
        <f t="shared" si="17"/>
        <v>15.807075273611799</v>
      </c>
      <c r="G99" s="372">
        <f t="shared" si="18"/>
        <v>22.420814794492799</v>
      </c>
      <c r="H99" s="372">
        <f t="shared" si="19"/>
        <v>-42.784545684625002</v>
      </c>
      <c r="I99" s="372">
        <f t="shared" si="20"/>
        <v>58.7200938362516</v>
      </c>
      <c r="J99" s="372">
        <f t="shared" si="21"/>
        <v>32.023433357133399</v>
      </c>
      <c r="K99" s="372">
        <f t="shared" si="22"/>
        <v>8.2306728780167706</v>
      </c>
      <c r="L99" s="372">
        <f t="shared" si="23"/>
        <v>26.648612398893398</v>
      </c>
      <c r="M99" s="372">
        <f t="shared" si="24"/>
        <v>-39.565503914892503</v>
      </c>
      <c r="N99" s="372">
        <f t="shared" si="25"/>
        <v>-74.901883207281102</v>
      </c>
      <c r="O99" s="372">
        <f t="shared" si="26"/>
        <v>42.722646591242203</v>
      </c>
    </row>
    <row r="100" spans="1:15">
      <c r="A100" s="373">
        <v>36220</v>
      </c>
      <c r="B100" s="372">
        <v>-11.583880127648101</v>
      </c>
      <c r="C100" s="372">
        <f t="shared" si="14"/>
        <v>12.958596388313699</v>
      </c>
      <c r="D100" s="372">
        <f t="shared" si="15"/>
        <v>25.024981995187499</v>
      </c>
      <c r="E100" s="372">
        <f t="shared" si="16"/>
        <v>33.990296231850998</v>
      </c>
      <c r="F100" s="372">
        <f t="shared" si="17"/>
        <v>45.654835752730101</v>
      </c>
      <c r="G100" s="372">
        <f t="shared" si="18"/>
        <v>15.807075273611799</v>
      </c>
      <c r="H100" s="372">
        <f t="shared" si="19"/>
        <v>22.420814794492799</v>
      </c>
      <c r="I100" s="372">
        <f t="shared" si="20"/>
        <v>-42.784545684625002</v>
      </c>
      <c r="J100" s="372">
        <f t="shared" si="21"/>
        <v>58.7200938362516</v>
      </c>
      <c r="K100" s="372">
        <f t="shared" si="22"/>
        <v>32.023433357133399</v>
      </c>
      <c r="L100" s="372">
        <f t="shared" si="23"/>
        <v>8.2306728780167706</v>
      </c>
      <c r="M100" s="372">
        <f t="shared" si="24"/>
        <v>26.648612398893398</v>
      </c>
      <c r="N100" s="372">
        <f t="shared" si="25"/>
        <v>-39.565503914892503</v>
      </c>
      <c r="O100" s="372">
        <f t="shared" si="26"/>
        <v>-74.901883207281102</v>
      </c>
    </row>
    <row r="101" spans="1:15">
      <c r="A101" s="373">
        <v>36251</v>
      </c>
      <c r="B101" s="372">
        <v>-9.7316196222122908</v>
      </c>
      <c r="C101" s="372">
        <f t="shared" si="14"/>
        <v>-11.583880127648101</v>
      </c>
      <c r="D101" s="372">
        <f t="shared" si="15"/>
        <v>12.958596388313699</v>
      </c>
      <c r="E101" s="372">
        <f t="shared" si="16"/>
        <v>25.024981995187499</v>
      </c>
      <c r="F101" s="372">
        <f t="shared" si="17"/>
        <v>33.990296231850998</v>
      </c>
      <c r="G101" s="372">
        <f t="shared" si="18"/>
        <v>45.654835752730101</v>
      </c>
      <c r="H101" s="372">
        <f t="shared" si="19"/>
        <v>15.807075273611799</v>
      </c>
      <c r="I101" s="372">
        <f t="shared" si="20"/>
        <v>22.420814794492799</v>
      </c>
      <c r="J101" s="372">
        <f t="shared" si="21"/>
        <v>-42.784545684625002</v>
      </c>
      <c r="K101" s="372">
        <f t="shared" si="22"/>
        <v>58.7200938362516</v>
      </c>
      <c r="L101" s="372">
        <f t="shared" si="23"/>
        <v>32.023433357133399</v>
      </c>
      <c r="M101" s="372">
        <f t="shared" si="24"/>
        <v>8.2306728780167706</v>
      </c>
      <c r="N101" s="372">
        <f t="shared" si="25"/>
        <v>26.648612398893398</v>
      </c>
      <c r="O101" s="372">
        <f t="shared" si="26"/>
        <v>-39.565503914892503</v>
      </c>
    </row>
    <row r="102" spans="1:15">
      <c r="A102" s="373">
        <v>36281</v>
      </c>
      <c r="B102" s="372">
        <v>-41.186414951438998</v>
      </c>
      <c r="C102" s="372">
        <f t="shared" si="14"/>
        <v>-9.7316196222122908</v>
      </c>
      <c r="D102" s="372">
        <f t="shared" si="15"/>
        <v>-11.583880127648101</v>
      </c>
      <c r="E102" s="372">
        <f t="shared" si="16"/>
        <v>12.958596388313699</v>
      </c>
      <c r="F102" s="372">
        <f t="shared" si="17"/>
        <v>25.024981995187499</v>
      </c>
      <c r="G102" s="372">
        <f t="shared" si="18"/>
        <v>33.990296231850998</v>
      </c>
      <c r="H102" s="372">
        <f t="shared" si="19"/>
        <v>45.654835752730101</v>
      </c>
      <c r="I102" s="372">
        <f t="shared" si="20"/>
        <v>15.807075273611799</v>
      </c>
      <c r="J102" s="372">
        <f t="shared" si="21"/>
        <v>22.420814794492799</v>
      </c>
      <c r="K102" s="372">
        <f t="shared" si="22"/>
        <v>-42.784545684625002</v>
      </c>
      <c r="L102" s="372">
        <f t="shared" si="23"/>
        <v>58.7200938362516</v>
      </c>
      <c r="M102" s="372">
        <f t="shared" si="24"/>
        <v>32.023433357133399</v>
      </c>
      <c r="N102" s="372">
        <f t="shared" si="25"/>
        <v>8.2306728780167706</v>
      </c>
      <c r="O102" s="372">
        <f t="shared" si="26"/>
        <v>26.648612398893398</v>
      </c>
    </row>
    <row r="103" spans="1:15">
      <c r="A103" s="373">
        <v>36312</v>
      </c>
      <c r="B103" s="372">
        <v>16.8274897193273</v>
      </c>
      <c r="C103" s="372">
        <f t="shared" si="14"/>
        <v>-41.186414951438998</v>
      </c>
      <c r="D103" s="372">
        <f t="shared" si="15"/>
        <v>-9.7316196222122908</v>
      </c>
      <c r="E103" s="372">
        <f t="shared" si="16"/>
        <v>-11.583880127648101</v>
      </c>
      <c r="F103" s="372">
        <f t="shared" si="17"/>
        <v>12.958596388313699</v>
      </c>
      <c r="G103" s="372">
        <f t="shared" si="18"/>
        <v>25.024981995187499</v>
      </c>
      <c r="H103" s="372">
        <f t="shared" si="19"/>
        <v>33.990296231850998</v>
      </c>
      <c r="I103" s="372">
        <f t="shared" si="20"/>
        <v>45.654835752730101</v>
      </c>
      <c r="J103" s="372">
        <f t="shared" si="21"/>
        <v>15.807075273611799</v>
      </c>
      <c r="K103" s="372">
        <f t="shared" si="22"/>
        <v>22.420814794492799</v>
      </c>
      <c r="L103" s="372">
        <f t="shared" si="23"/>
        <v>-42.784545684625002</v>
      </c>
      <c r="M103" s="372">
        <f t="shared" si="24"/>
        <v>58.7200938362516</v>
      </c>
      <c r="N103" s="372">
        <f t="shared" si="25"/>
        <v>32.023433357133399</v>
      </c>
      <c r="O103" s="372">
        <f t="shared" si="26"/>
        <v>8.2306728780167706</v>
      </c>
    </row>
    <row r="104" spans="1:15">
      <c r="A104" s="373">
        <v>36342</v>
      </c>
      <c r="B104" s="372">
        <v>0.74929439009520105</v>
      </c>
      <c r="C104" s="372">
        <f t="shared" si="14"/>
        <v>16.8274897193273</v>
      </c>
      <c r="D104" s="372">
        <f t="shared" si="15"/>
        <v>-41.186414951438998</v>
      </c>
      <c r="E104" s="372">
        <f t="shared" si="16"/>
        <v>-9.7316196222122908</v>
      </c>
      <c r="F104" s="372">
        <f t="shared" si="17"/>
        <v>-11.583880127648101</v>
      </c>
      <c r="G104" s="372">
        <f t="shared" si="18"/>
        <v>12.958596388313699</v>
      </c>
      <c r="H104" s="372">
        <f t="shared" si="19"/>
        <v>25.024981995187499</v>
      </c>
      <c r="I104" s="372">
        <f t="shared" si="20"/>
        <v>33.990296231850998</v>
      </c>
      <c r="J104" s="372">
        <f t="shared" si="21"/>
        <v>45.654835752730101</v>
      </c>
      <c r="K104" s="372">
        <f t="shared" si="22"/>
        <v>15.807075273611799</v>
      </c>
      <c r="L104" s="372">
        <f t="shared" si="23"/>
        <v>22.420814794492799</v>
      </c>
      <c r="M104" s="372">
        <f t="shared" si="24"/>
        <v>-42.784545684625002</v>
      </c>
      <c r="N104" s="372">
        <f t="shared" si="25"/>
        <v>58.7200938362516</v>
      </c>
      <c r="O104" s="372">
        <f t="shared" si="26"/>
        <v>32.023433357133399</v>
      </c>
    </row>
    <row r="105" spans="1:15">
      <c r="A105" s="373">
        <v>36373</v>
      </c>
      <c r="B105" s="372">
        <v>-72.427200939132007</v>
      </c>
      <c r="C105" s="372">
        <f t="shared" si="14"/>
        <v>0.74929439009520105</v>
      </c>
      <c r="D105" s="372">
        <f t="shared" si="15"/>
        <v>16.8274897193273</v>
      </c>
      <c r="E105" s="372">
        <f t="shared" si="16"/>
        <v>-41.186414951438998</v>
      </c>
      <c r="F105" s="372">
        <f t="shared" si="17"/>
        <v>-9.7316196222122908</v>
      </c>
      <c r="G105" s="372">
        <f t="shared" si="18"/>
        <v>-11.583880127648101</v>
      </c>
      <c r="H105" s="372">
        <f t="shared" si="19"/>
        <v>12.958596388313699</v>
      </c>
      <c r="I105" s="372">
        <f t="shared" si="20"/>
        <v>25.024981995187499</v>
      </c>
      <c r="J105" s="372">
        <f t="shared" si="21"/>
        <v>33.990296231850998</v>
      </c>
      <c r="K105" s="372">
        <f t="shared" si="22"/>
        <v>45.654835752730101</v>
      </c>
      <c r="L105" s="372">
        <f t="shared" si="23"/>
        <v>15.807075273611799</v>
      </c>
      <c r="M105" s="372">
        <f t="shared" si="24"/>
        <v>22.420814794492799</v>
      </c>
      <c r="N105" s="372">
        <f t="shared" si="25"/>
        <v>-42.784545684625002</v>
      </c>
      <c r="O105" s="372">
        <f t="shared" si="26"/>
        <v>58.7200938362516</v>
      </c>
    </row>
    <row r="106" spans="1:15">
      <c r="A106" s="373">
        <v>36404</v>
      </c>
      <c r="B106" s="372">
        <v>-98.260696268364399</v>
      </c>
      <c r="C106" s="372">
        <f t="shared" si="14"/>
        <v>-72.427200939132007</v>
      </c>
      <c r="D106" s="372">
        <f t="shared" si="15"/>
        <v>0.74929439009520105</v>
      </c>
      <c r="E106" s="372">
        <f t="shared" si="16"/>
        <v>16.8274897193273</v>
      </c>
      <c r="F106" s="372">
        <f t="shared" si="17"/>
        <v>-41.186414951438998</v>
      </c>
      <c r="G106" s="372">
        <f t="shared" si="18"/>
        <v>-9.7316196222122908</v>
      </c>
      <c r="H106" s="372">
        <f t="shared" si="19"/>
        <v>-11.583880127648101</v>
      </c>
      <c r="I106" s="372">
        <f t="shared" si="20"/>
        <v>12.958596388313699</v>
      </c>
      <c r="J106" s="372">
        <f t="shared" si="21"/>
        <v>25.024981995187499</v>
      </c>
      <c r="K106" s="372">
        <f t="shared" si="22"/>
        <v>33.990296231850998</v>
      </c>
      <c r="L106" s="372">
        <f t="shared" si="23"/>
        <v>45.654835752730101</v>
      </c>
      <c r="M106" s="372">
        <f t="shared" si="24"/>
        <v>15.807075273611799</v>
      </c>
      <c r="N106" s="372">
        <f t="shared" si="25"/>
        <v>22.420814794492799</v>
      </c>
      <c r="O106" s="372">
        <f t="shared" si="26"/>
        <v>-42.784545684625002</v>
      </c>
    </row>
    <row r="107" spans="1:15">
      <c r="A107" s="373">
        <v>36434</v>
      </c>
      <c r="B107" s="372">
        <v>-31.918291597595498</v>
      </c>
      <c r="C107" s="372">
        <f t="shared" si="14"/>
        <v>-98.260696268364399</v>
      </c>
      <c r="D107" s="372">
        <f t="shared" si="15"/>
        <v>-72.427200939132007</v>
      </c>
      <c r="E107" s="372">
        <f t="shared" si="16"/>
        <v>0.74929439009520105</v>
      </c>
      <c r="F107" s="372">
        <f t="shared" si="17"/>
        <v>16.8274897193273</v>
      </c>
      <c r="G107" s="372">
        <f t="shared" si="18"/>
        <v>-41.186414951438998</v>
      </c>
      <c r="H107" s="372">
        <f t="shared" si="19"/>
        <v>-9.7316196222122908</v>
      </c>
      <c r="I107" s="372">
        <f t="shared" si="20"/>
        <v>-11.583880127648101</v>
      </c>
      <c r="J107" s="372">
        <f t="shared" si="21"/>
        <v>12.958596388313699</v>
      </c>
      <c r="K107" s="372">
        <f t="shared" si="22"/>
        <v>25.024981995187499</v>
      </c>
      <c r="L107" s="372">
        <f t="shared" si="23"/>
        <v>33.990296231850998</v>
      </c>
      <c r="M107" s="372">
        <f t="shared" si="24"/>
        <v>45.654835752730101</v>
      </c>
      <c r="N107" s="372">
        <f t="shared" si="25"/>
        <v>15.807075273611799</v>
      </c>
      <c r="O107" s="372">
        <f t="shared" si="26"/>
        <v>22.420814794492799</v>
      </c>
    </row>
    <row r="108" spans="1:15">
      <c r="A108" s="373">
        <v>36465</v>
      </c>
      <c r="B108" s="372">
        <v>17.876613073172301</v>
      </c>
      <c r="C108" s="372">
        <f t="shared" si="14"/>
        <v>-31.918291597595498</v>
      </c>
      <c r="D108" s="372">
        <f t="shared" si="15"/>
        <v>-98.260696268364399</v>
      </c>
      <c r="E108" s="372">
        <f t="shared" si="16"/>
        <v>-72.427200939132007</v>
      </c>
      <c r="F108" s="372">
        <f t="shared" si="17"/>
        <v>0.74929439009520105</v>
      </c>
      <c r="G108" s="372">
        <f t="shared" si="18"/>
        <v>16.8274897193273</v>
      </c>
      <c r="H108" s="372">
        <f t="shared" si="19"/>
        <v>-41.186414951438998</v>
      </c>
      <c r="I108" s="372">
        <f t="shared" si="20"/>
        <v>-9.7316196222122908</v>
      </c>
      <c r="J108" s="372">
        <f t="shared" si="21"/>
        <v>-11.583880127648101</v>
      </c>
      <c r="K108" s="372">
        <f t="shared" si="22"/>
        <v>12.958596388313699</v>
      </c>
      <c r="L108" s="372">
        <f t="shared" si="23"/>
        <v>25.024981995187499</v>
      </c>
      <c r="M108" s="372">
        <f t="shared" si="24"/>
        <v>33.990296231850998</v>
      </c>
      <c r="N108" s="372">
        <f t="shared" si="25"/>
        <v>45.654835752730101</v>
      </c>
      <c r="O108" s="372">
        <f t="shared" si="26"/>
        <v>15.807075273611799</v>
      </c>
    </row>
    <row r="109" spans="1:15">
      <c r="A109" s="373">
        <v>36495</v>
      </c>
      <c r="B109" s="372">
        <v>-39.159782256056999</v>
      </c>
      <c r="C109" s="372">
        <f t="shared" si="14"/>
        <v>17.876613073172301</v>
      </c>
      <c r="D109" s="372">
        <f t="shared" si="15"/>
        <v>-31.918291597595498</v>
      </c>
      <c r="E109" s="372">
        <f t="shared" si="16"/>
        <v>-98.260696268364399</v>
      </c>
      <c r="F109" s="372">
        <f t="shared" si="17"/>
        <v>-72.427200939132007</v>
      </c>
      <c r="G109" s="372">
        <f t="shared" si="18"/>
        <v>0.74929439009520105</v>
      </c>
      <c r="H109" s="372">
        <f t="shared" si="19"/>
        <v>16.8274897193273</v>
      </c>
      <c r="I109" s="372">
        <f t="shared" si="20"/>
        <v>-41.186414951438998</v>
      </c>
      <c r="J109" s="372">
        <f t="shared" si="21"/>
        <v>-9.7316196222122908</v>
      </c>
      <c r="K109" s="372">
        <f t="shared" si="22"/>
        <v>-11.583880127648101</v>
      </c>
      <c r="L109" s="372">
        <f t="shared" si="23"/>
        <v>12.958596388313699</v>
      </c>
      <c r="M109" s="372">
        <f t="shared" si="24"/>
        <v>25.024981995187499</v>
      </c>
      <c r="N109" s="372">
        <f t="shared" si="25"/>
        <v>33.990296231850998</v>
      </c>
      <c r="O109" s="372">
        <f t="shared" si="26"/>
        <v>45.654835752730101</v>
      </c>
    </row>
    <row r="110" spans="1:15">
      <c r="A110" s="373">
        <v>36526</v>
      </c>
      <c r="B110" s="372">
        <v>-97.030952301070698</v>
      </c>
      <c r="C110" s="372">
        <f t="shared" si="14"/>
        <v>-39.159782256056999</v>
      </c>
      <c r="D110" s="372">
        <f t="shared" si="15"/>
        <v>17.876613073172301</v>
      </c>
      <c r="E110" s="372">
        <f t="shared" si="16"/>
        <v>-31.918291597595498</v>
      </c>
      <c r="F110" s="372">
        <f t="shared" si="17"/>
        <v>-98.260696268364399</v>
      </c>
      <c r="G110" s="372">
        <f t="shared" si="18"/>
        <v>-72.427200939132007</v>
      </c>
      <c r="H110" s="372">
        <f t="shared" si="19"/>
        <v>0.74929439009520105</v>
      </c>
      <c r="I110" s="372">
        <f t="shared" si="20"/>
        <v>16.8274897193273</v>
      </c>
      <c r="J110" s="372">
        <f t="shared" si="21"/>
        <v>-41.186414951438998</v>
      </c>
      <c r="K110" s="372">
        <f t="shared" si="22"/>
        <v>-9.7316196222122908</v>
      </c>
      <c r="L110" s="372">
        <f t="shared" si="23"/>
        <v>-11.583880127648101</v>
      </c>
      <c r="M110" s="372">
        <f t="shared" si="24"/>
        <v>12.958596388313699</v>
      </c>
      <c r="N110" s="372">
        <f t="shared" si="25"/>
        <v>25.024981995187499</v>
      </c>
      <c r="O110" s="372">
        <f t="shared" si="26"/>
        <v>33.990296231850998</v>
      </c>
    </row>
    <row r="111" spans="1:15">
      <c r="A111" s="373">
        <v>36557</v>
      </c>
      <c r="B111" s="372">
        <v>15.335806283705001</v>
      </c>
      <c r="C111" s="372">
        <f t="shared" si="14"/>
        <v>-97.030952301070698</v>
      </c>
      <c r="D111" s="372">
        <f t="shared" si="15"/>
        <v>-39.159782256056999</v>
      </c>
      <c r="E111" s="372">
        <f t="shared" si="16"/>
        <v>17.876613073172301</v>
      </c>
      <c r="F111" s="372">
        <f t="shared" si="17"/>
        <v>-31.918291597595498</v>
      </c>
      <c r="G111" s="372">
        <f t="shared" si="18"/>
        <v>-98.260696268364399</v>
      </c>
      <c r="H111" s="372">
        <f t="shared" si="19"/>
        <v>-72.427200939132007</v>
      </c>
      <c r="I111" s="372">
        <f t="shared" si="20"/>
        <v>0.74929439009520105</v>
      </c>
      <c r="J111" s="372">
        <f t="shared" si="21"/>
        <v>16.8274897193273</v>
      </c>
      <c r="K111" s="372">
        <f t="shared" si="22"/>
        <v>-41.186414951438998</v>
      </c>
      <c r="L111" s="372">
        <f t="shared" si="23"/>
        <v>-9.7316196222122908</v>
      </c>
      <c r="M111" s="372">
        <f t="shared" si="24"/>
        <v>-11.583880127648101</v>
      </c>
      <c r="N111" s="372">
        <f t="shared" si="25"/>
        <v>12.958596388313699</v>
      </c>
      <c r="O111" s="372">
        <f t="shared" si="26"/>
        <v>25.024981995187499</v>
      </c>
    </row>
    <row r="112" spans="1:15">
      <c r="A112" s="373">
        <v>36586</v>
      </c>
      <c r="B112" s="372">
        <v>8.4164739593929792</v>
      </c>
      <c r="C112" s="372">
        <f t="shared" si="14"/>
        <v>15.335806283705001</v>
      </c>
      <c r="D112" s="372">
        <f t="shared" si="15"/>
        <v>-97.030952301070698</v>
      </c>
      <c r="E112" s="372">
        <f t="shared" si="16"/>
        <v>-39.159782256056999</v>
      </c>
      <c r="F112" s="372">
        <f t="shared" si="17"/>
        <v>17.876613073172301</v>
      </c>
      <c r="G112" s="372">
        <f t="shared" si="18"/>
        <v>-31.918291597595498</v>
      </c>
      <c r="H112" s="372">
        <f t="shared" si="19"/>
        <v>-98.260696268364399</v>
      </c>
      <c r="I112" s="372">
        <f t="shared" si="20"/>
        <v>-72.427200939132007</v>
      </c>
      <c r="J112" s="372">
        <f t="shared" si="21"/>
        <v>0.74929439009520105</v>
      </c>
      <c r="K112" s="372">
        <f t="shared" si="22"/>
        <v>16.8274897193273</v>
      </c>
      <c r="L112" s="372">
        <f t="shared" si="23"/>
        <v>-41.186414951438998</v>
      </c>
      <c r="M112" s="372">
        <f t="shared" si="24"/>
        <v>-9.7316196222122908</v>
      </c>
      <c r="N112" s="372">
        <f t="shared" si="25"/>
        <v>-11.583880127648101</v>
      </c>
      <c r="O112" s="372">
        <f t="shared" si="26"/>
        <v>12.958596388313699</v>
      </c>
    </row>
    <row r="113" spans="1:15">
      <c r="A113" s="373">
        <v>36617</v>
      </c>
      <c r="B113" s="372">
        <v>53.3788786564782</v>
      </c>
      <c r="C113" s="372">
        <f t="shared" si="14"/>
        <v>8.4164739593929792</v>
      </c>
      <c r="D113" s="372">
        <f t="shared" si="15"/>
        <v>15.335806283705001</v>
      </c>
      <c r="E113" s="372">
        <f t="shared" si="16"/>
        <v>-97.030952301070698</v>
      </c>
      <c r="F113" s="372">
        <f t="shared" si="17"/>
        <v>-39.159782256056999</v>
      </c>
      <c r="G113" s="372">
        <f t="shared" si="18"/>
        <v>17.876613073172301</v>
      </c>
      <c r="H113" s="372">
        <f t="shared" si="19"/>
        <v>-31.918291597595498</v>
      </c>
      <c r="I113" s="372">
        <f t="shared" si="20"/>
        <v>-98.260696268364399</v>
      </c>
      <c r="J113" s="372">
        <f t="shared" si="21"/>
        <v>-72.427200939132007</v>
      </c>
      <c r="K113" s="372">
        <f t="shared" si="22"/>
        <v>0.74929439009520105</v>
      </c>
      <c r="L113" s="372">
        <f t="shared" si="23"/>
        <v>16.8274897193273</v>
      </c>
      <c r="M113" s="372">
        <f t="shared" si="24"/>
        <v>-41.186414951438998</v>
      </c>
      <c r="N113" s="372">
        <f t="shared" si="25"/>
        <v>-9.7316196222122908</v>
      </c>
      <c r="O113" s="372">
        <f t="shared" si="26"/>
        <v>-11.583880127648101</v>
      </c>
    </row>
    <row r="114" spans="1:15">
      <c r="A114" s="373">
        <v>36647</v>
      </c>
      <c r="B114" s="372">
        <v>34.496227518900902</v>
      </c>
      <c r="C114" s="372">
        <f t="shared" si="14"/>
        <v>53.3788786564782</v>
      </c>
      <c r="D114" s="372">
        <f t="shared" si="15"/>
        <v>8.4164739593929792</v>
      </c>
      <c r="E114" s="372">
        <f t="shared" si="16"/>
        <v>15.335806283705001</v>
      </c>
      <c r="F114" s="372">
        <f t="shared" si="17"/>
        <v>-97.030952301070698</v>
      </c>
      <c r="G114" s="372">
        <f t="shared" si="18"/>
        <v>-39.159782256056999</v>
      </c>
      <c r="H114" s="372">
        <f t="shared" si="19"/>
        <v>17.876613073172301</v>
      </c>
      <c r="I114" s="372">
        <f t="shared" si="20"/>
        <v>-31.918291597595498</v>
      </c>
      <c r="J114" s="372">
        <f t="shared" si="21"/>
        <v>-98.260696268364399</v>
      </c>
      <c r="K114" s="372">
        <f t="shared" si="22"/>
        <v>-72.427200939132007</v>
      </c>
      <c r="L114" s="372">
        <f t="shared" si="23"/>
        <v>0.74929439009520105</v>
      </c>
      <c r="M114" s="372">
        <f t="shared" si="24"/>
        <v>16.8274897193273</v>
      </c>
      <c r="N114" s="372">
        <f t="shared" si="25"/>
        <v>-41.186414951438998</v>
      </c>
      <c r="O114" s="372">
        <f t="shared" si="26"/>
        <v>-9.7316196222122908</v>
      </c>
    </row>
    <row r="115" spans="1:15">
      <c r="A115" s="373">
        <v>36678</v>
      </c>
      <c r="B115" s="372">
        <v>90.160276381317004</v>
      </c>
      <c r="C115" s="372">
        <f t="shared" si="14"/>
        <v>34.496227518900902</v>
      </c>
      <c r="D115" s="372">
        <f t="shared" si="15"/>
        <v>53.3788786564782</v>
      </c>
      <c r="E115" s="372">
        <f t="shared" si="16"/>
        <v>8.4164739593929792</v>
      </c>
      <c r="F115" s="372">
        <f t="shared" si="17"/>
        <v>15.335806283705001</v>
      </c>
      <c r="G115" s="372">
        <f t="shared" si="18"/>
        <v>-97.030952301070698</v>
      </c>
      <c r="H115" s="372">
        <f t="shared" si="19"/>
        <v>-39.159782256056999</v>
      </c>
      <c r="I115" s="372">
        <f t="shared" si="20"/>
        <v>17.876613073172301</v>
      </c>
      <c r="J115" s="372">
        <f t="shared" si="21"/>
        <v>-31.918291597595498</v>
      </c>
      <c r="K115" s="372">
        <f t="shared" si="22"/>
        <v>-98.260696268364399</v>
      </c>
      <c r="L115" s="372">
        <f t="shared" si="23"/>
        <v>-72.427200939132007</v>
      </c>
      <c r="M115" s="372">
        <f t="shared" si="24"/>
        <v>0.74929439009520105</v>
      </c>
      <c r="N115" s="372">
        <f t="shared" si="25"/>
        <v>16.8274897193273</v>
      </c>
      <c r="O115" s="372">
        <f t="shared" si="26"/>
        <v>-41.186414951438998</v>
      </c>
    </row>
    <row r="116" spans="1:15">
      <c r="A116" s="373">
        <v>36708</v>
      </c>
      <c r="B116" s="372">
        <v>15.9662252437349</v>
      </c>
      <c r="C116" s="372">
        <f t="shared" si="14"/>
        <v>90.160276381317004</v>
      </c>
      <c r="D116" s="372">
        <f t="shared" si="15"/>
        <v>34.496227518900902</v>
      </c>
      <c r="E116" s="372">
        <f t="shared" si="16"/>
        <v>53.3788786564782</v>
      </c>
      <c r="F116" s="372">
        <f t="shared" si="17"/>
        <v>8.4164739593929792</v>
      </c>
      <c r="G116" s="372">
        <f t="shared" si="18"/>
        <v>15.335806283705001</v>
      </c>
      <c r="H116" s="372">
        <f t="shared" si="19"/>
        <v>-97.030952301070698</v>
      </c>
      <c r="I116" s="372">
        <f t="shared" si="20"/>
        <v>-39.159782256056999</v>
      </c>
      <c r="J116" s="372">
        <f t="shared" si="21"/>
        <v>17.876613073172301</v>
      </c>
      <c r="K116" s="372">
        <f t="shared" si="22"/>
        <v>-31.918291597595498</v>
      </c>
      <c r="L116" s="372">
        <f t="shared" si="23"/>
        <v>-98.260696268364399</v>
      </c>
      <c r="M116" s="372">
        <f t="shared" si="24"/>
        <v>-72.427200939132007</v>
      </c>
      <c r="N116" s="372">
        <f t="shared" si="25"/>
        <v>0.74929439009520105</v>
      </c>
      <c r="O116" s="372">
        <f t="shared" si="26"/>
        <v>16.8274897193273</v>
      </c>
    </row>
    <row r="117" spans="1:15">
      <c r="A117" s="373">
        <v>36739</v>
      </c>
      <c r="B117" s="372">
        <v>1.5478741061574499</v>
      </c>
      <c r="C117" s="372">
        <f t="shared" si="14"/>
        <v>15.9662252437349</v>
      </c>
      <c r="D117" s="372">
        <f t="shared" si="15"/>
        <v>90.160276381317004</v>
      </c>
      <c r="E117" s="372">
        <f t="shared" si="16"/>
        <v>34.496227518900902</v>
      </c>
      <c r="F117" s="372">
        <f t="shared" si="17"/>
        <v>53.3788786564782</v>
      </c>
      <c r="G117" s="372">
        <f t="shared" si="18"/>
        <v>8.4164739593929792</v>
      </c>
      <c r="H117" s="372">
        <f t="shared" si="19"/>
        <v>15.335806283705001</v>
      </c>
      <c r="I117" s="372">
        <f t="shared" si="20"/>
        <v>-97.030952301070698</v>
      </c>
      <c r="J117" s="372">
        <f t="shared" si="21"/>
        <v>-39.159782256056999</v>
      </c>
      <c r="K117" s="372">
        <f t="shared" si="22"/>
        <v>17.876613073172301</v>
      </c>
      <c r="L117" s="372">
        <f t="shared" si="23"/>
        <v>-31.918291597595498</v>
      </c>
      <c r="M117" s="372">
        <f t="shared" si="24"/>
        <v>-98.260696268364399</v>
      </c>
      <c r="N117" s="372">
        <f t="shared" si="25"/>
        <v>-72.427200939132007</v>
      </c>
      <c r="O117" s="372">
        <f t="shared" si="26"/>
        <v>0.74929439009520105</v>
      </c>
    </row>
    <row r="118" spans="1:15">
      <c r="A118" s="373">
        <v>36770</v>
      </c>
      <c r="B118" s="372">
        <v>42.120522968574697</v>
      </c>
      <c r="C118" s="372">
        <f t="shared" si="14"/>
        <v>1.5478741061574499</v>
      </c>
      <c r="D118" s="372">
        <f t="shared" si="15"/>
        <v>15.9662252437349</v>
      </c>
      <c r="E118" s="372">
        <f t="shared" si="16"/>
        <v>90.160276381317004</v>
      </c>
      <c r="F118" s="372">
        <f t="shared" si="17"/>
        <v>34.496227518900902</v>
      </c>
      <c r="G118" s="372">
        <f t="shared" si="18"/>
        <v>53.3788786564782</v>
      </c>
      <c r="H118" s="372">
        <f t="shared" si="19"/>
        <v>8.4164739593929792</v>
      </c>
      <c r="I118" s="372">
        <f t="shared" si="20"/>
        <v>15.335806283705001</v>
      </c>
      <c r="J118" s="372">
        <f t="shared" si="21"/>
        <v>-97.030952301070698</v>
      </c>
      <c r="K118" s="372">
        <f t="shared" si="22"/>
        <v>-39.159782256056999</v>
      </c>
      <c r="L118" s="372">
        <f t="shared" si="23"/>
        <v>17.876613073172301</v>
      </c>
      <c r="M118" s="372">
        <f t="shared" si="24"/>
        <v>-31.918291597595498</v>
      </c>
      <c r="N118" s="372">
        <f t="shared" si="25"/>
        <v>-98.260696268364399</v>
      </c>
      <c r="O118" s="372">
        <f t="shared" si="26"/>
        <v>-72.427200939132007</v>
      </c>
    </row>
    <row r="119" spans="1:15">
      <c r="A119" s="373">
        <v>36800</v>
      </c>
      <c r="B119" s="372">
        <v>64.005071830993302</v>
      </c>
      <c r="C119" s="372">
        <f t="shared" si="14"/>
        <v>42.120522968574697</v>
      </c>
      <c r="D119" s="372">
        <f t="shared" si="15"/>
        <v>1.5478741061574499</v>
      </c>
      <c r="E119" s="372">
        <f t="shared" si="16"/>
        <v>15.9662252437349</v>
      </c>
      <c r="F119" s="372">
        <f t="shared" si="17"/>
        <v>90.160276381317004</v>
      </c>
      <c r="G119" s="372">
        <f t="shared" si="18"/>
        <v>34.496227518900902</v>
      </c>
      <c r="H119" s="372">
        <f t="shared" si="19"/>
        <v>53.3788786564782</v>
      </c>
      <c r="I119" s="372">
        <f t="shared" si="20"/>
        <v>8.4164739593929792</v>
      </c>
      <c r="J119" s="372">
        <f t="shared" si="21"/>
        <v>15.335806283705001</v>
      </c>
      <c r="K119" s="372">
        <f t="shared" si="22"/>
        <v>-97.030952301070698</v>
      </c>
      <c r="L119" s="372">
        <f t="shared" si="23"/>
        <v>-39.159782256056999</v>
      </c>
      <c r="M119" s="372">
        <f t="shared" si="24"/>
        <v>17.876613073172301</v>
      </c>
      <c r="N119" s="372">
        <f t="shared" si="25"/>
        <v>-31.918291597595498</v>
      </c>
      <c r="O119" s="372">
        <f t="shared" si="26"/>
        <v>-98.260696268364399</v>
      </c>
    </row>
    <row r="120" spans="1:15">
      <c r="A120" s="373">
        <v>36831</v>
      </c>
      <c r="B120" s="372">
        <v>70.108120693410896</v>
      </c>
      <c r="C120" s="372">
        <f t="shared" si="14"/>
        <v>64.005071830993302</v>
      </c>
      <c r="D120" s="372">
        <f t="shared" si="15"/>
        <v>42.120522968574697</v>
      </c>
      <c r="E120" s="372">
        <f t="shared" si="16"/>
        <v>1.5478741061574499</v>
      </c>
      <c r="F120" s="372">
        <f t="shared" si="17"/>
        <v>15.9662252437349</v>
      </c>
      <c r="G120" s="372">
        <f t="shared" si="18"/>
        <v>90.160276381317004</v>
      </c>
      <c r="H120" s="372">
        <f t="shared" si="19"/>
        <v>34.496227518900902</v>
      </c>
      <c r="I120" s="372">
        <f t="shared" si="20"/>
        <v>53.3788786564782</v>
      </c>
      <c r="J120" s="372">
        <f t="shared" si="21"/>
        <v>8.4164739593929792</v>
      </c>
      <c r="K120" s="372">
        <f t="shared" si="22"/>
        <v>15.335806283705001</v>
      </c>
      <c r="L120" s="372">
        <f t="shared" si="23"/>
        <v>-97.030952301070698</v>
      </c>
      <c r="M120" s="372">
        <f t="shared" si="24"/>
        <v>-39.159782256056999</v>
      </c>
      <c r="N120" s="372">
        <f t="shared" si="25"/>
        <v>17.876613073172301</v>
      </c>
      <c r="O120" s="372">
        <f t="shared" si="26"/>
        <v>-31.918291597595498</v>
      </c>
    </row>
    <row r="121" spans="1:15">
      <c r="A121" s="373">
        <v>36861</v>
      </c>
      <c r="B121" s="372">
        <v>44.232869555831002</v>
      </c>
      <c r="C121" s="372">
        <f t="shared" si="14"/>
        <v>70.108120693410896</v>
      </c>
      <c r="D121" s="372">
        <f t="shared" si="15"/>
        <v>64.005071830993302</v>
      </c>
      <c r="E121" s="372">
        <f t="shared" si="16"/>
        <v>42.120522968574697</v>
      </c>
      <c r="F121" s="372">
        <f t="shared" si="17"/>
        <v>1.5478741061574499</v>
      </c>
      <c r="G121" s="372">
        <f t="shared" si="18"/>
        <v>15.9662252437349</v>
      </c>
      <c r="H121" s="372">
        <f t="shared" si="19"/>
        <v>90.160276381317004</v>
      </c>
      <c r="I121" s="372">
        <f t="shared" si="20"/>
        <v>34.496227518900902</v>
      </c>
      <c r="J121" s="372">
        <f t="shared" si="21"/>
        <v>53.3788786564782</v>
      </c>
      <c r="K121" s="372">
        <f t="shared" si="22"/>
        <v>8.4164739593929792</v>
      </c>
      <c r="L121" s="372">
        <f t="shared" si="23"/>
        <v>15.335806283705001</v>
      </c>
      <c r="M121" s="372">
        <f t="shared" si="24"/>
        <v>-97.030952301070698</v>
      </c>
      <c r="N121" s="372">
        <f t="shared" si="25"/>
        <v>-39.159782256056999</v>
      </c>
      <c r="O121" s="372">
        <f t="shared" si="26"/>
        <v>17.876613073172301</v>
      </c>
    </row>
    <row r="122" spans="1:15">
      <c r="A122" s="373">
        <v>36892</v>
      </c>
      <c r="B122" s="372">
        <v>-37.326156297532997</v>
      </c>
      <c r="C122" s="372">
        <f t="shared" si="14"/>
        <v>44.232869555831002</v>
      </c>
      <c r="D122" s="372">
        <f t="shared" si="15"/>
        <v>70.108120693410896</v>
      </c>
      <c r="E122" s="372">
        <f t="shared" si="16"/>
        <v>64.005071830993302</v>
      </c>
      <c r="F122" s="372">
        <f t="shared" si="17"/>
        <v>42.120522968574697</v>
      </c>
      <c r="G122" s="372">
        <f t="shared" si="18"/>
        <v>1.5478741061574499</v>
      </c>
      <c r="H122" s="372">
        <f t="shared" si="19"/>
        <v>15.9662252437349</v>
      </c>
      <c r="I122" s="372">
        <f t="shared" si="20"/>
        <v>90.160276381317004</v>
      </c>
      <c r="J122" s="372">
        <f t="shared" si="21"/>
        <v>34.496227518900902</v>
      </c>
      <c r="K122" s="372">
        <f t="shared" si="22"/>
        <v>53.3788786564782</v>
      </c>
      <c r="L122" s="372">
        <f t="shared" si="23"/>
        <v>8.4164739593929792</v>
      </c>
      <c r="M122" s="372">
        <f t="shared" si="24"/>
        <v>15.335806283705001</v>
      </c>
      <c r="N122" s="372">
        <f t="shared" si="25"/>
        <v>-97.030952301070698</v>
      </c>
      <c r="O122" s="372">
        <f t="shared" si="26"/>
        <v>-39.159782256056999</v>
      </c>
    </row>
    <row r="123" spans="1:15">
      <c r="A123" s="373">
        <v>36923</v>
      </c>
      <c r="B123" s="372">
        <v>-21.429253521107501</v>
      </c>
      <c r="C123" s="372">
        <f t="shared" si="14"/>
        <v>-37.326156297532997</v>
      </c>
      <c r="D123" s="372">
        <f t="shared" si="15"/>
        <v>44.232869555831002</v>
      </c>
      <c r="E123" s="372">
        <f t="shared" si="16"/>
        <v>70.108120693410896</v>
      </c>
      <c r="F123" s="372">
        <f t="shared" si="17"/>
        <v>64.005071830993302</v>
      </c>
      <c r="G123" s="372">
        <f t="shared" si="18"/>
        <v>42.120522968574697</v>
      </c>
      <c r="H123" s="372">
        <f t="shared" si="19"/>
        <v>1.5478741061574499</v>
      </c>
      <c r="I123" s="372">
        <f t="shared" si="20"/>
        <v>15.9662252437349</v>
      </c>
      <c r="J123" s="372">
        <f t="shared" si="21"/>
        <v>90.160276381317004</v>
      </c>
      <c r="K123" s="372">
        <f t="shared" si="22"/>
        <v>34.496227518900902</v>
      </c>
      <c r="L123" s="372">
        <f t="shared" si="23"/>
        <v>53.3788786564782</v>
      </c>
      <c r="M123" s="372">
        <f t="shared" si="24"/>
        <v>8.4164739593929792</v>
      </c>
      <c r="N123" s="372">
        <f t="shared" si="25"/>
        <v>15.335806283705001</v>
      </c>
      <c r="O123" s="372">
        <f t="shared" si="26"/>
        <v>-97.030952301070698</v>
      </c>
    </row>
    <row r="124" spans="1:15">
      <c r="A124" s="373">
        <v>36951</v>
      </c>
      <c r="B124" s="374">
        <v>12.10755834623</v>
      </c>
      <c r="C124" s="372">
        <f t="shared" si="14"/>
        <v>-21.429253521107501</v>
      </c>
      <c r="D124" s="372">
        <f t="shared" si="15"/>
        <v>-37.326156297532997</v>
      </c>
      <c r="E124" s="372">
        <f t="shared" si="16"/>
        <v>44.232869555831002</v>
      </c>
      <c r="F124" s="372">
        <f t="shared" si="17"/>
        <v>70.108120693410896</v>
      </c>
      <c r="G124" s="372">
        <f t="shared" si="18"/>
        <v>64.005071830993302</v>
      </c>
      <c r="H124" s="372">
        <f t="shared" si="19"/>
        <v>42.120522968574697</v>
      </c>
      <c r="I124" s="372">
        <f t="shared" si="20"/>
        <v>1.5478741061574499</v>
      </c>
      <c r="J124" s="372">
        <f t="shared" si="21"/>
        <v>15.9662252437349</v>
      </c>
      <c r="K124" s="372">
        <f t="shared" si="22"/>
        <v>90.160276381317004</v>
      </c>
      <c r="L124" s="372">
        <f t="shared" si="23"/>
        <v>34.496227518900902</v>
      </c>
      <c r="M124" s="372">
        <f t="shared" si="24"/>
        <v>53.3788786564782</v>
      </c>
      <c r="N124" s="372">
        <f t="shared" si="25"/>
        <v>8.4164739593929792</v>
      </c>
      <c r="O124" s="372">
        <f t="shared" si="26"/>
        <v>15.335806283705001</v>
      </c>
    </row>
    <row r="131" spans="4:7">
      <c r="G131" s="372">
        <f>2004271+7262</f>
        <v>2011533</v>
      </c>
    </row>
    <row r="141" spans="4:7">
      <c r="D141" s="372">
        <f>0.5998*12.108</f>
        <v>7.2623784000000002</v>
      </c>
    </row>
  </sheetData>
  <phoneticPr fontId="5" type="noConversion"/>
  <pageMargins left="0.7" right="0.7" top="0.75" bottom="0.75" header="0.3" footer="0.3"/>
  <pageSetup paperSize="9"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dimension ref="A1:K55"/>
  <sheetViews>
    <sheetView topLeftCell="A36" zoomScaleNormal="100" workbookViewId="0">
      <selection activeCell="H58" sqref="H58"/>
    </sheetView>
  </sheetViews>
  <sheetFormatPr defaultRowHeight="16.5"/>
  <cols>
    <col min="1" max="1" width="14.75" customWidth="1"/>
    <col min="3" max="3" width="11.125" customWidth="1"/>
    <col min="4" max="4" width="9.75" customWidth="1"/>
    <col min="5" max="5" width="12.75" customWidth="1"/>
    <col min="6" max="6" width="21.5" customWidth="1"/>
    <col min="7" max="7" width="11.375" customWidth="1"/>
    <col min="8" max="9" width="9.125" customWidth="1"/>
    <col min="10" max="10" width="13.25" customWidth="1"/>
    <col min="11" max="11" width="16.625" customWidth="1"/>
  </cols>
  <sheetData>
    <row r="1" spans="1:11" s="1" customFormat="1">
      <c r="A1" s="1" t="s">
        <v>2396</v>
      </c>
    </row>
    <row r="2" spans="1:11">
      <c r="A2" s="25" t="s">
        <v>2376</v>
      </c>
    </row>
    <row r="3" spans="1:11">
      <c r="D3" t="s">
        <v>2389</v>
      </c>
      <c r="G3">
        <v>5</v>
      </c>
    </row>
    <row r="4" spans="1:11">
      <c r="C4" s="25" t="s">
        <v>2377</v>
      </c>
      <c r="D4" s="25"/>
      <c r="E4" s="25"/>
      <c r="F4" s="25"/>
      <c r="G4" s="25"/>
    </row>
    <row r="6" spans="1:11" ht="30">
      <c r="A6" s="184" t="s">
        <v>2378</v>
      </c>
      <c r="B6" s="184" t="s">
        <v>191</v>
      </c>
      <c r="C6" s="184" t="s">
        <v>2379</v>
      </c>
      <c r="D6" s="184" t="s">
        <v>2381</v>
      </c>
      <c r="E6" s="184"/>
      <c r="F6" s="184"/>
      <c r="G6" s="184" t="s">
        <v>2385</v>
      </c>
      <c r="H6" s="396" t="s">
        <v>2380</v>
      </c>
      <c r="I6" s="396"/>
      <c r="J6" s="184" t="s">
        <v>2382</v>
      </c>
      <c r="K6" s="184" t="s">
        <v>2390</v>
      </c>
    </row>
    <row r="7" spans="1:11">
      <c r="A7" s="355">
        <v>1</v>
      </c>
      <c r="B7" s="397">
        <v>120</v>
      </c>
      <c r="C7" s="398"/>
      <c r="D7" s="398"/>
      <c r="E7" s="398"/>
      <c r="F7" s="398"/>
      <c r="G7" s="398"/>
      <c r="H7" s="398"/>
      <c r="I7" s="398"/>
    </row>
    <row r="8" spans="1:11">
      <c r="A8" s="355">
        <v>2</v>
      </c>
      <c r="B8" s="397">
        <v>110</v>
      </c>
      <c r="C8" s="398"/>
      <c r="D8" s="398"/>
      <c r="E8" s="398"/>
      <c r="F8" s="398"/>
      <c r="G8" s="398"/>
      <c r="H8" s="398"/>
      <c r="I8" s="398"/>
    </row>
    <row r="9" spans="1:11">
      <c r="A9" s="355">
        <v>3</v>
      </c>
      <c r="B9" s="397">
        <v>130</v>
      </c>
      <c r="C9" s="398"/>
      <c r="D9" s="398"/>
      <c r="E9" s="398"/>
      <c r="F9" s="398"/>
      <c r="G9" s="398"/>
      <c r="H9" s="398"/>
      <c r="I9" s="398"/>
    </row>
    <row r="10" spans="1:11">
      <c r="A10" s="355">
        <v>4</v>
      </c>
      <c r="B10" s="397">
        <v>135</v>
      </c>
      <c r="C10" s="398">
        <f>AVERAGE(B7:B9)</f>
        <v>120</v>
      </c>
      <c r="D10" s="398">
        <f>ABS(B10-C10)</f>
        <v>15</v>
      </c>
      <c r="E10" s="398"/>
      <c r="F10" s="398"/>
      <c r="G10" s="398">
        <f>D10^2</f>
        <v>225</v>
      </c>
      <c r="H10" s="398"/>
      <c r="I10" s="398"/>
    </row>
    <row r="11" spans="1:11">
      <c r="A11" s="355">
        <v>5</v>
      </c>
      <c r="B11" s="397">
        <v>140</v>
      </c>
      <c r="C11" s="398">
        <f t="shared" ref="C11:C16" si="0">AVERAGE(B8:B10)</f>
        <v>125</v>
      </c>
      <c r="D11" s="398">
        <f t="shared" ref="D11:D16" si="1">ABS(B11-C11)</f>
        <v>15</v>
      </c>
      <c r="E11" s="398"/>
      <c r="F11" s="398"/>
      <c r="G11" s="398">
        <f t="shared" ref="G11:G16" si="2">D11^2</f>
        <v>225</v>
      </c>
      <c r="H11" s="398"/>
      <c r="I11" s="398"/>
    </row>
    <row r="12" spans="1:11">
      <c r="A12" s="355">
        <v>6</v>
      </c>
      <c r="B12" s="397">
        <v>145</v>
      </c>
      <c r="C12" s="398">
        <f t="shared" si="0"/>
        <v>135</v>
      </c>
      <c r="D12" s="398">
        <f t="shared" si="1"/>
        <v>10</v>
      </c>
      <c r="E12" s="398"/>
      <c r="F12" s="398"/>
      <c r="G12" s="398">
        <f t="shared" si="2"/>
        <v>100</v>
      </c>
      <c r="H12" s="398">
        <f>AVERAGE(B7:B11)</f>
        <v>127</v>
      </c>
      <c r="I12" s="398"/>
      <c r="J12" s="399">
        <f>ABS(B12-H12)</f>
        <v>18</v>
      </c>
      <c r="K12" s="399">
        <f>J12^2</f>
        <v>324</v>
      </c>
    </row>
    <row r="13" spans="1:11">
      <c r="A13" s="355">
        <v>7</v>
      </c>
      <c r="B13" s="397">
        <v>160</v>
      </c>
      <c r="C13" s="398">
        <f t="shared" si="0"/>
        <v>140</v>
      </c>
      <c r="D13" s="398">
        <f t="shared" si="1"/>
        <v>20</v>
      </c>
      <c r="E13" s="398"/>
      <c r="F13" s="398"/>
      <c r="G13" s="398">
        <f t="shared" si="2"/>
        <v>400</v>
      </c>
      <c r="H13" s="398">
        <f t="shared" ref="H13:H16" si="3">AVERAGE(B8:B12)</f>
        <v>132</v>
      </c>
      <c r="I13" s="398"/>
      <c r="J13" s="399">
        <f t="shared" ref="J13:J16" si="4">ABS(B13-H13)</f>
        <v>28</v>
      </c>
      <c r="K13" s="399">
        <f t="shared" ref="K13:K16" si="5">J13^2</f>
        <v>784</v>
      </c>
    </row>
    <row r="14" spans="1:11">
      <c r="A14" s="355">
        <v>8</v>
      </c>
      <c r="B14" s="397">
        <v>165</v>
      </c>
      <c r="C14" s="398">
        <f t="shared" si="0"/>
        <v>148.33333333333334</v>
      </c>
      <c r="D14" s="398">
        <f t="shared" si="1"/>
        <v>16.666666666666657</v>
      </c>
      <c r="E14" s="398"/>
      <c r="F14" s="398"/>
      <c r="G14" s="398">
        <f t="shared" si="2"/>
        <v>277.77777777777749</v>
      </c>
      <c r="H14" s="398">
        <f t="shared" si="3"/>
        <v>142</v>
      </c>
      <c r="I14" s="398"/>
      <c r="J14" s="399">
        <f t="shared" si="4"/>
        <v>23</v>
      </c>
      <c r="K14" s="399">
        <f t="shared" si="5"/>
        <v>529</v>
      </c>
    </row>
    <row r="15" spans="1:11">
      <c r="A15" s="355">
        <v>9</v>
      </c>
      <c r="B15" s="397">
        <v>160</v>
      </c>
      <c r="C15" s="398">
        <f t="shared" si="0"/>
        <v>156.66666666666666</v>
      </c>
      <c r="D15" s="398">
        <f t="shared" si="1"/>
        <v>3.3333333333333428</v>
      </c>
      <c r="E15" s="398"/>
      <c r="F15" s="398"/>
      <c r="G15" s="398">
        <f t="shared" si="2"/>
        <v>11.111111111111175</v>
      </c>
      <c r="H15" s="398">
        <f t="shared" si="3"/>
        <v>149</v>
      </c>
      <c r="I15" s="398"/>
      <c r="J15" s="399">
        <f t="shared" si="4"/>
        <v>11</v>
      </c>
      <c r="K15" s="399">
        <f t="shared" si="5"/>
        <v>121</v>
      </c>
    </row>
    <row r="16" spans="1:11">
      <c r="A16" s="355">
        <v>10</v>
      </c>
      <c r="B16" s="397">
        <v>170</v>
      </c>
      <c r="C16" s="398">
        <f t="shared" si="0"/>
        <v>161.66666666666666</v>
      </c>
      <c r="D16" s="398">
        <f t="shared" si="1"/>
        <v>8.3333333333333428</v>
      </c>
      <c r="E16" s="398"/>
      <c r="F16" s="398"/>
      <c r="G16" s="398">
        <f t="shared" si="2"/>
        <v>69.444444444444599</v>
      </c>
      <c r="H16" s="398">
        <f t="shared" si="3"/>
        <v>154</v>
      </c>
      <c r="I16" s="398"/>
      <c r="J16" s="399">
        <f t="shared" si="4"/>
        <v>16</v>
      </c>
      <c r="K16" s="399">
        <f t="shared" si="5"/>
        <v>256</v>
      </c>
    </row>
    <row r="18" spans="1:11">
      <c r="C18" t="s">
        <v>2383</v>
      </c>
      <c r="D18" s="398">
        <f>SUM(D10:D16)</f>
        <v>88.333333333333343</v>
      </c>
      <c r="E18" s="398"/>
      <c r="F18" s="398"/>
      <c r="G18" s="398">
        <f>SUM(G10:G16)</f>
        <v>1308.333333333333</v>
      </c>
      <c r="H18" t="s">
        <v>2384</v>
      </c>
      <c r="J18" s="399">
        <f xml:space="preserve"> SUM(J12:J16)</f>
        <v>96</v>
      </c>
      <c r="K18" s="399">
        <f xml:space="preserve"> SUM(K12:K16)</f>
        <v>2014</v>
      </c>
    </row>
    <row r="20" spans="1:11">
      <c r="C20" t="s">
        <v>2387</v>
      </c>
      <c r="D20" s="400">
        <f>D18/$G$3</f>
        <v>17.666666666666668</v>
      </c>
      <c r="E20" s="400"/>
      <c r="F20" s="400"/>
      <c r="H20" t="s">
        <v>2387</v>
      </c>
      <c r="J20">
        <f>J18/$G$3</f>
        <v>19.2</v>
      </c>
    </row>
    <row r="21" spans="1:11">
      <c r="C21" t="s">
        <v>2388</v>
      </c>
      <c r="D21" s="400">
        <f>G18/$G$3</f>
        <v>261.66666666666663</v>
      </c>
      <c r="E21" s="400"/>
      <c r="F21" s="400"/>
      <c r="H21" t="s">
        <v>2388</v>
      </c>
      <c r="J21">
        <f>K18/$G$3</f>
        <v>402.8</v>
      </c>
    </row>
    <row r="24" spans="1:11">
      <c r="A24" t="s">
        <v>2392</v>
      </c>
    </row>
    <row r="26" spans="1:11">
      <c r="A26" s="141" t="s">
        <v>2391</v>
      </c>
      <c r="B26" s="141" t="s">
        <v>191</v>
      </c>
      <c r="C26" s="141" t="s">
        <v>2393</v>
      </c>
      <c r="D26" s="142" t="s">
        <v>2394</v>
      </c>
      <c r="E26" s="142"/>
      <c r="F26" s="142"/>
    </row>
    <row r="27" spans="1:11">
      <c r="A27" s="395">
        <v>1</v>
      </c>
      <c r="B27" s="395">
        <v>120</v>
      </c>
    </row>
    <row r="28" spans="1:11">
      <c r="A28" s="395">
        <v>2</v>
      </c>
      <c r="B28" s="395">
        <v>110</v>
      </c>
    </row>
    <row r="29" spans="1:11">
      <c r="A29" s="395">
        <v>3</v>
      </c>
      <c r="B29" s="395">
        <v>130</v>
      </c>
      <c r="C29">
        <f>AVERAGE(B27:B28)</f>
        <v>115</v>
      </c>
    </row>
    <row r="30" spans="1:11">
      <c r="A30" s="395">
        <v>4</v>
      </c>
      <c r="B30" s="395">
        <v>135</v>
      </c>
      <c r="C30">
        <f t="shared" ref="C30:C36" si="6">AVERAGE(B28:B29)</f>
        <v>120</v>
      </c>
      <c r="D30">
        <f>(C29+C30)/2</f>
        <v>117.5</v>
      </c>
    </row>
    <row r="31" spans="1:11">
      <c r="A31" s="395">
        <v>5</v>
      </c>
      <c r="B31" s="395">
        <v>140</v>
      </c>
      <c r="C31">
        <f t="shared" si="6"/>
        <v>132.5</v>
      </c>
      <c r="D31">
        <f t="shared" ref="D31:D36" si="7">(C30+C31)/2</f>
        <v>126.25</v>
      </c>
    </row>
    <row r="32" spans="1:11">
      <c r="A32" s="395">
        <v>6</v>
      </c>
      <c r="B32" s="395">
        <v>145</v>
      </c>
      <c r="C32">
        <f t="shared" si="6"/>
        <v>137.5</v>
      </c>
      <c r="D32">
        <f t="shared" si="7"/>
        <v>135</v>
      </c>
    </row>
    <row r="33" spans="1:10">
      <c r="A33" s="395">
        <v>7</v>
      </c>
      <c r="B33" s="395">
        <v>160</v>
      </c>
      <c r="C33">
        <f t="shared" si="6"/>
        <v>142.5</v>
      </c>
      <c r="D33">
        <f t="shared" si="7"/>
        <v>140</v>
      </c>
    </row>
    <row r="34" spans="1:10">
      <c r="A34" s="395">
        <v>8</v>
      </c>
      <c r="B34" s="395">
        <v>165</v>
      </c>
      <c r="C34">
        <f t="shared" si="6"/>
        <v>152.5</v>
      </c>
      <c r="D34">
        <f t="shared" si="7"/>
        <v>147.5</v>
      </c>
    </row>
    <row r="35" spans="1:10">
      <c r="A35" s="395">
        <v>9</v>
      </c>
      <c r="B35" s="395">
        <v>160</v>
      </c>
      <c r="C35">
        <f t="shared" si="6"/>
        <v>162.5</v>
      </c>
      <c r="D35">
        <f t="shared" si="7"/>
        <v>157.5</v>
      </c>
    </row>
    <row r="36" spans="1:10">
      <c r="A36" s="395">
        <v>10</v>
      </c>
      <c r="B36" s="395">
        <v>170</v>
      </c>
      <c r="C36">
        <f t="shared" si="6"/>
        <v>162.5</v>
      </c>
      <c r="D36">
        <f t="shared" si="7"/>
        <v>162.5</v>
      </c>
    </row>
    <row r="39" spans="1:10" s="1" customFormat="1">
      <c r="A39" s="1" t="s">
        <v>2395</v>
      </c>
    </row>
    <row r="40" spans="1:10">
      <c r="D40" t="s">
        <v>2389</v>
      </c>
      <c r="E40">
        <v>5</v>
      </c>
    </row>
    <row r="41" spans="1:10" s="137" customFormat="1" ht="24">
      <c r="A41" s="405" t="s">
        <v>2378</v>
      </c>
      <c r="B41" s="405" t="s">
        <v>191</v>
      </c>
      <c r="C41" s="406" t="s">
        <v>2398</v>
      </c>
      <c r="D41" s="407" t="s">
        <v>2399</v>
      </c>
      <c r="E41" s="409" t="s">
        <v>2401</v>
      </c>
      <c r="F41" s="409" t="s">
        <v>2402</v>
      </c>
      <c r="G41" s="406" t="s">
        <v>2400</v>
      </c>
      <c r="H41" s="407" t="s">
        <v>2399</v>
      </c>
      <c r="I41" s="409" t="s">
        <v>2401</v>
      </c>
      <c r="J41" s="409" t="s">
        <v>2402</v>
      </c>
    </row>
    <row r="42" spans="1:10">
      <c r="A42" s="408">
        <v>1</v>
      </c>
      <c r="B42" s="410">
        <v>120</v>
      </c>
      <c r="C42" s="411"/>
      <c r="D42" s="411"/>
      <c r="E42" s="411"/>
      <c r="F42" s="411"/>
      <c r="G42" s="411"/>
      <c r="H42" s="411"/>
      <c r="I42" s="411"/>
      <c r="J42" s="412"/>
    </row>
    <row r="43" spans="1:10">
      <c r="A43" s="408">
        <v>2</v>
      </c>
      <c r="B43" s="410">
        <v>110</v>
      </c>
      <c r="C43" s="411">
        <f>B42</f>
        <v>120</v>
      </c>
      <c r="D43" s="411">
        <f>B43-C43</f>
        <v>-10</v>
      </c>
      <c r="E43" s="411">
        <f>ABS(D43)</f>
        <v>10</v>
      </c>
      <c r="F43" s="411">
        <f>E43^2</f>
        <v>100</v>
      </c>
      <c r="G43" s="411">
        <f>B42</f>
        <v>120</v>
      </c>
      <c r="H43" s="411">
        <f>B43-G43</f>
        <v>-10</v>
      </c>
      <c r="I43" s="411">
        <f>ABS(H43)</f>
        <v>10</v>
      </c>
      <c r="J43" s="412">
        <f>H43^2</f>
        <v>100</v>
      </c>
    </row>
    <row r="44" spans="1:10">
      <c r="A44" s="408">
        <v>3</v>
      </c>
      <c r="B44" s="410">
        <v>130</v>
      </c>
      <c r="C44" s="411">
        <f>0.1*B43+0.9*C43</f>
        <v>119</v>
      </c>
      <c r="D44" s="411">
        <f t="shared" ref="D44:D51" si="8">B44-C44</f>
        <v>11</v>
      </c>
      <c r="E44" s="411">
        <f t="shared" ref="E44:E51" si="9">ABS(D44)</f>
        <v>11</v>
      </c>
      <c r="F44" s="411">
        <f t="shared" ref="F44:F51" si="10">E44^2</f>
        <v>121</v>
      </c>
      <c r="G44" s="411">
        <f>0.9*B43+0.1*G43</f>
        <v>111</v>
      </c>
      <c r="H44" s="411">
        <f t="shared" ref="H44:H51" si="11">B44-G44</f>
        <v>19</v>
      </c>
      <c r="I44" s="411">
        <f t="shared" ref="I44:I51" si="12">ABS(H44)</f>
        <v>19</v>
      </c>
      <c r="J44" s="412">
        <f t="shared" ref="J44:J51" si="13">H44^2</f>
        <v>361</v>
      </c>
    </row>
    <row r="45" spans="1:10">
      <c r="A45" s="408">
        <v>4</v>
      </c>
      <c r="B45" s="410">
        <v>135</v>
      </c>
      <c r="C45" s="411">
        <f t="shared" ref="C45:C52" si="14">0.1*B44+0.9*C44</f>
        <v>120.10000000000001</v>
      </c>
      <c r="D45" s="411">
        <f t="shared" si="8"/>
        <v>14.899999999999991</v>
      </c>
      <c r="E45" s="411">
        <f t="shared" si="9"/>
        <v>14.899999999999991</v>
      </c>
      <c r="F45" s="411">
        <f t="shared" si="10"/>
        <v>222.00999999999974</v>
      </c>
      <c r="G45" s="411">
        <f t="shared" ref="G45:G52" si="15">0.9*B44+0.1*G44</f>
        <v>128.1</v>
      </c>
      <c r="H45" s="411">
        <f t="shared" si="11"/>
        <v>6.9000000000000057</v>
      </c>
      <c r="I45" s="411">
        <f t="shared" si="12"/>
        <v>6.9000000000000057</v>
      </c>
      <c r="J45" s="412">
        <f t="shared" si="13"/>
        <v>47.610000000000078</v>
      </c>
    </row>
    <row r="46" spans="1:10">
      <c r="A46" s="408">
        <v>5</v>
      </c>
      <c r="B46" s="410">
        <v>140</v>
      </c>
      <c r="C46" s="411">
        <f t="shared" si="14"/>
        <v>121.59</v>
      </c>
      <c r="D46" s="411">
        <f t="shared" si="8"/>
        <v>18.409999999999997</v>
      </c>
      <c r="E46" s="411">
        <f t="shared" si="9"/>
        <v>18.409999999999997</v>
      </c>
      <c r="F46" s="411">
        <f t="shared" si="10"/>
        <v>338.92809999999986</v>
      </c>
      <c r="G46" s="411">
        <f t="shared" si="15"/>
        <v>134.31</v>
      </c>
      <c r="H46" s="411">
        <f t="shared" si="11"/>
        <v>5.6899999999999977</v>
      </c>
      <c r="I46" s="411">
        <f t="shared" si="12"/>
        <v>5.6899999999999977</v>
      </c>
      <c r="J46" s="412">
        <f t="shared" si="13"/>
        <v>32.376099999999973</v>
      </c>
    </row>
    <row r="47" spans="1:10">
      <c r="A47" s="408">
        <v>6</v>
      </c>
      <c r="B47" s="410">
        <v>145</v>
      </c>
      <c r="C47" s="411">
        <f t="shared" si="14"/>
        <v>123.43100000000001</v>
      </c>
      <c r="D47" s="415">
        <f t="shared" si="8"/>
        <v>21.568999999999988</v>
      </c>
      <c r="E47" s="411">
        <f t="shared" si="9"/>
        <v>21.568999999999988</v>
      </c>
      <c r="F47" s="411">
        <f t="shared" si="10"/>
        <v>465.2217609999995</v>
      </c>
      <c r="G47" s="411">
        <f t="shared" si="15"/>
        <v>139.43100000000001</v>
      </c>
      <c r="H47" s="411">
        <f t="shared" si="11"/>
        <v>5.5689999999999884</v>
      </c>
      <c r="I47" s="415">
        <f t="shared" si="12"/>
        <v>5.5689999999999884</v>
      </c>
      <c r="J47" s="412">
        <f t="shared" si="13"/>
        <v>31.013760999999871</v>
      </c>
    </row>
    <row r="48" spans="1:10">
      <c r="A48" s="408">
        <v>7</v>
      </c>
      <c r="B48" s="410">
        <v>160</v>
      </c>
      <c r="C48" s="411">
        <f t="shared" si="14"/>
        <v>125.58790000000002</v>
      </c>
      <c r="D48" s="415">
        <f t="shared" si="8"/>
        <v>34.412099999999981</v>
      </c>
      <c r="E48" s="411">
        <f t="shared" si="9"/>
        <v>34.412099999999981</v>
      </c>
      <c r="F48" s="411">
        <f t="shared" si="10"/>
        <v>1184.1926264099986</v>
      </c>
      <c r="G48" s="411">
        <f t="shared" si="15"/>
        <v>144.44310000000002</v>
      </c>
      <c r="H48" s="411">
        <f t="shared" si="11"/>
        <v>15.556899999999985</v>
      </c>
      <c r="I48" s="415">
        <f t="shared" si="12"/>
        <v>15.556899999999985</v>
      </c>
      <c r="J48" s="412">
        <f t="shared" si="13"/>
        <v>242.01713760999951</v>
      </c>
    </row>
    <row r="49" spans="1:10">
      <c r="A49" s="408">
        <v>8</v>
      </c>
      <c r="B49" s="410">
        <v>165</v>
      </c>
      <c r="C49" s="411">
        <f t="shared" si="14"/>
        <v>129.02911</v>
      </c>
      <c r="D49" s="415">
        <f t="shared" si="8"/>
        <v>35.970889999999997</v>
      </c>
      <c r="E49" s="411">
        <f t="shared" si="9"/>
        <v>35.970889999999997</v>
      </c>
      <c r="F49" s="411">
        <f t="shared" si="10"/>
        <v>1293.9049273920998</v>
      </c>
      <c r="G49" s="411">
        <f t="shared" si="15"/>
        <v>158.44431</v>
      </c>
      <c r="H49" s="411">
        <f t="shared" si="11"/>
        <v>6.5556899999999985</v>
      </c>
      <c r="I49" s="415">
        <f t="shared" si="12"/>
        <v>6.5556899999999985</v>
      </c>
      <c r="J49" s="412">
        <f t="shared" si="13"/>
        <v>42.977071376099978</v>
      </c>
    </row>
    <row r="50" spans="1:10">
      <c r="A50" s="408">
        <v>9</v>
      </c>
      <c r="B50" s="410">
        <v>160</v>
      </c>
      <c r="C50" s="411">
        <f t="shared" si="14"/>
        <v>132.62619899999999</v>
      </c>
      <c r="D50" s="415">
        <f t="shared" si="8"/>
        <v>27.373801000000014</v>
      </c>
      <c r="E50" s="411">
        <f t="shared" si="9"/>
        <v>27.373801000000014</v>
      </c>
      <c r="F50" s="411">
        <f t="shared" si="10"/>
        <v>749.32498118760179</v>
      </c>
      <c r="G50" s="411">
        <f t="shared" si="15"/>
        <v>164.34443099999999</v>
      </c>
      <c r="H50" s="411">
        <f t="shared" si="11"/>
        <v>-4.3444309999999859</v>
      </c>
      <c r="I50" s="415">
        <f t="shared" si="12"/>
        <v>4.3444309999999859</v>
      </c>
      <c r="J50" s="412">
        <f t="shared" si="13"/>
        <v>18.874080713760879</v>
      </c>
    </row>
    <row r="51" spans="1:10">
      <c r="A51" s="408">
        <v>10</v>
      </c>
      <c r="B51" s="410">
        <v>170</v>
      </c>
      <c r="C51" s="411">
        <f t="shared" si="14"/>
        <v>135.36357909999998</v>
      </c>
      <c r="D51" s="415">
        <f t="shared" si="8"/>
        <v>34.636420900000019</v>
      </c>
      <c r="E51" s="411">
        <f t="shared" si="9"/>
        <v>34.636420900000019</v>
      </c>
      <c r="F51" s="411">
        <f t="shared" si="10"/>
        <v>1199.681652761958</v>
      </c>
      <c r="G51" s="411">
        <f t="shared" si="15"/>
        <v>160.43444310000001</v>
      </c>
      <c r="H51" s="411">
        <f t="shared" si="11"/>
        <v>9.56555689999999</v>
      </c>
      <c r="I51" s="415">
        <f t="shared" si="12"/>
        <v>9.56555689999999</v>
      </c>
      <c r="J51" s="412">
        <f t="shared" si="13"/>
        <v>91.499878807137421</v>
      </c>
    </row>
    <row r="52" spans="1:10" ht="17.25">
      <c r="A52" s="408" t="s">
        <v>2397</v>
      </c>
      <c r="B52" s="411"/>
      <c r="C52" s="411">
        <f t="shared" si="14"/>
        <v>138.82722118999999</v>
      </c>
      <c r="D52" s="411"/>
      <c r="E52" s="411"/>
      <c r="F52" s="411"/>
      <c r="G52" s="414">
        <f t="shared" si="15"/>
        <v>169.04344431000001</v>
      </c>
      <c r="H52" s="411"/>
      <c r="I52" s="411"/>
      <c r="J52" s="412"/>
    </row>
    <row r="53" spans="1:10">
      <c r="B53" s="399"/>
      <c r="C53" s="399"/>
      <c r="D53" s="399"/>
      <c r="E53" s="399">
        <f>SUM(E43:E51)</f>
        <v>208.2722119</v>
      </c>
      <c r="F53" s="399">
        <f>SUM(F43:F51)</f>
        <v>5674.2640487516583</v>
      </c>
      <c r="G53" s="399"/>
      <c r="H53" s="399"/>
      <c r="I53" s="399">
        <f t="shared" ref="I53:J53" si="16">SUM(I43:I51)</f>
        <v>83.181577899999951</v>
      </c>
      <c r="J53" s="399">
        <f t="shared" si="16"/>
        <v>967.36802950699769</v>
      </c>
    </row>
    <row r="54" spans="1:10">
      <c r="B54" s="399"/>
      <c r="C54" s="399"/>
      <c r="D54" s="399"/>
      <c r="E54" s="354" t="s">
        <v>2386</v>
      </c>
      <c r="F54" s="413" t="s">
        <v>2388</v>
      </c>
      <c r="G54" s="399"/>
      <c r="H54" s="399"/>
      <c r="I54" s="354" t="s">
        <v>2386</v>
      </c>
      <c r="J54" s="413" t="s">
        <v>2388</v>
      </c>
    </row>
    <row r="55" spans="1:10">
      <c r="B55" s="399"/>
      <c r="E55" s="399">
        <f>E53/$E$40</f>
        <v>41.654442379999999</v>
      </c>
      <c r="F55" s="399">
        <f>F53/$E$40</f>
        <v>1134.8528097503317</v>
      </c>
      <c r="G55" s="399"/>
      <c r="H55" s="399"/>
      <c r="I55" s="399">
        <f>I53/$E$40</f>
        <v>16.636315579999991</v>
      </c>
      <c r="J55" s="399">
        <f>J53/$E$40</f>
        <v>193.47360590139954</v>
      </c>
    </row>
  </sheetData>
  <phoneticPr fontId="5" type="noConversion"/>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900-000000000000}">
  <dimension ref="A5:V62"/>
  <sheetViews>
    <sheetView topLeftCell="D43" zoomScale="130" zoomScaleNormal="130" workbookViewId="0">
      <selection activeCell="V53" sqref="V53"/>
    </sheetView>
  </sheetViews>
  <sheetFormatPr defaultRowHeight="16.5"/>
  <sheetData>
    <row r="5" spans="1:1">
      <c r="A5" s="122" t="s">
        <v>812</v>
      </c>
    </row>
    <row r="6" spans="1:1">
      <c r="A6" s="122" t="s">
        <v>813</v>
      </c>
    </row>
    <row r="9" spans="1:1">
      <c r="A9" s="163" t="s">
        <v>814</v>
      </c>
    </row>
    <row r="12" spans="1:1">
      <c r="A12" s="122" t="s">
        <v>815</v>
      </c>
    </row>
    <row r="14" spans="1:1">
      <c r="A14" s="122" t="s">
        <v>772</v>
      </c>
    </row>
    <row r="15" spans="1:1">
      <c r="A15" s="122" t="s">
        <v>816</v>
      </c>
    </row>
    <row r="16" spans="1:1">
      <c r="A16" s="122" t="s">
        <v>817</v>
      </c>
    </row>
    <row r="18" spans="1:1">
      <c r="A18" s="122" t="s">
        <v>818</v>
      </c>
    </row>
    <row r="20" spans="1:1">
      <c r="A20" s="163" t="s">
        <v>819</v>
      </c>
    </row>
    <row r="22" spans="1:1">
      <c r="A22" s="122" t="s">
        <v>820</v>
      </c>
    </row>
    <row r="42" spans="2:16">
      <c r="B42" s="122" t="s">
        <v>822</v>
      </c>
    </row>
    <row r="45" spans="2:16">
      <c r="G45" t="s">
        <v>823</v>
      </c>
      <c r="L45" t="s">
        <v>824</v>
      </c>
      <c r="P45" t="s">
        <v>825</v>
      </c>
    </row>
    <row r="46" spans="2:16">
      <c r="B46" s="122" t="s">
        <v>821</v>
      </c>
      <c r="G46">
        <v>21</v>
      </c>
    </row>
    <row r="47" spans="2:16">
      <c r="P47" t="s">
        <v>838</v>
      </c>
    </row>
    <row r="48" spans="2:16">
      <c r="G48" t="s">
        <v>826</v>
      </c>
      <c r="L48" t="s">
        <v>829</v>
      </c>
    </row>
    <row r="49" spans="6:22">
      <c r="G49">
        <v>0</v>
      </c>
      <c r="H49">
        <v>1</v>
      </c>
      <c r="L49">
        <v>20</v>
      </c>
      <c r="N49" t="s">
        <v>835</v>
      </c>
      <c r="P49" s="1"/>
    </row>
    <row r="50" spans="6:22">
      <c r="F50" t="s">
        <v>827</v>
      </c>
      <c r="G50" s="235">
        <v>0</v>
      </c>
      <c r="H50" s="235">
        <v>0</v>
      </c>
      <c r="I50" s="235">
        <v>1</v>
      </c>
      <c r="J50" s="88">
        <v>0</v>
      </c>
      <c r="K50" s="235">
        <v>0</v>
      </c>
      <c r="L50" s="235">
        <v>0</v>
      </c>
      <c r="N50" t="s">
        <v>831</v>
      </c>
      <c r="P50" s="1"/>
      <c r="S50" t="s">
        <v>836</v>
      </c>
    </row>
    <row r="51" spans="6:22">
      <c r="F51" t="s">
        <v>828</v>
      </c>
      <c r="G51" s="235">
        <v>0</v>
      </c>
      <c r="H51" s="235">
        <v>0</v>
      </c>
      <c r="I51" s="235">
        <v>0</v>
      </c>
      <c r="J51" s="235">
        <v>0</v>
      </c>
      <c r="K51" s="88">
        <v>1</v>
      </c>
      <c r="L51" s="235">
        <v>0</v>
      </c>
      <c r="N51" t="s">
        <v>832</v>
      </c>
      <c r="P51" s="1"/>
      <c r="S51" s="186"/>
      <c r="V51" t="s">
        <v>837</v>
      </c>
    </row>
    <row r="52" spans="6:22">
      <c r="G52" s="88"/>
      <c r="H52" s="88"/>
      <c r="I52" s="88"/>
      <c r="J52" s="88"/>
      <c r="K52" s="88"/>
      <c r="L52" s="88"/>
      <c r="N52" t="s">
        <v>833</v>
      </c>
      <c r="P52" s="1"/>
      <c r="S52" s="186"/>
      <c r="V52" s="1"/>
    </row>
    <row r="53" spans="6:22">
      <c r="G53" s="88"/>
      <c r="H53" s="88"/>
      <c r="I53" s="88"/>
      <c r="J53" s="88"/>
      <c r="K53" s="88"/>
      <c r="L53" s="88"/>
      <c r="N53" t="s">
        <v>834</v>
      </c>
      <c r="P53" s="1"/>
      <c r="S53" s="186"/>
      <c r="V53" s="1"/>
    </row>
    <row r="54" spans="6:22">
      <c r="G54" s="88"/>
      <c r="H54" s="88"/>
      <c r="I54" s="88"/>
      <c r="J54" s="88"/>
      <c r="K54" s="88"/>
      <c r="L54" s="88"/>
      <c r="P54" s="1"/>
      <c r="S54" s="186"/>
    </row>
    <row r="55" spans="6:22">
      <c r="F55" t="s">
        <v>830</v>
      </c>
      <c r="G55" s="235">
        <v>0</v>
      </c>
      <c r="H55" s="88">
        <v>1</v>
      </c>
      <c r="I55" s="235">
        <v>0</v>
      </c>
      <c r="J55" s="235">
        <v>0</v>
      </c>
      <c r="K55" s="235">
        <v>0</v>
      </c>
      <c r="L55" s="235">
        <v>0</v>
      </c>
      <c r="P55" s="1"/>
      <c r="S55" s="186"/>
    </row>
    <row r="56" spans="6:22">
      <c r="P56" s="1"/>
    </row>
    <row r="57" spans="6:22">
      <c r="P57" s="1"/>
    </row>
    <row r="58" spans="6:22">
      <c r="P58" s="1"/>
    </row>
    <row r="59" spans="6:22">
      <c r="P59" s="1"/>
    </row>
    <row r="60" spans="6:22">
      <c r="P60" s="1"/>
    </row>
    <row r="61" spans="6:22">
      <c r="P61" s="1"/>
    </row>
    <row r="62" spans="6:22">
      <c r="P62" s="1"/>
    </row>
  </sheetData>
  <phoneticPr fontId="5" type="noConversion"/>
  <pageMargins left="0.7" right="0.7" top="0.75" bottom="0.75" header="0.3" footer="0.3"/>
  <pageSetup paperSize="9" orientation="portrait" r:id="rId1"/>
  <drawing r:id="rId2"/>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dimension ref="A2:X96"/>
  <sheetViews>
    <sheetView topLeftCell="A20" zoomScale="115" zoomScaleNormal="115" workbookViewId="0">
      <selection activeCell="N31" sqref="N31"/>
    </sheetView>
  </sheetViews>
  <sheetFormatPr defaultRowHeight="16.5"/>
  <cols>
    <col min="1" max="1" width="11.75" bestFit="1" customWidth="1"/>
    <col min="2" max="2" width="12.625" customWidth="1"/>
    <col min="15" max="15" width="11.5" customWidth="1"/>
  </cols>
  <sheetData>
    <row r="2" spans="2:2" s="1" customFormat="1">
      <c r="B2" s="168" t="s">
        <v>2631</v>
      </c>
    </row>
    <row r="21" spans="2:17" s="1" customFormat="1">
      <c r="B21" s="168" t="s">
        <v>2633</v>
      </c>
      <c r="F21" s="1" t="s">
        <v>2632</v>
      </c>
    </row>
    <row r="24" spans="2:17">
      <c r="B24" s="451" t="s">
        <v>2634</v>
      </c>
    </row>
    <row r="25" spans="2:17">
      <c r="B25" s="451" t="s">
        <v>2635</v>
      </c>
      <c r="E25" t="s">
        <v>2640</v>
      </c>
    </row>
    <row r="26" spans="2:17">
      <c r="B26" s="451" t="s">
        <v>2636</v>
      </c>
      <c r="O26" s="119"/>
      <c r="Q26" s="119"/>
    </row>
    <row r="27" spans="2:17">
      <c r="B27" s="451" t="s">
        <v>2637</v>
      </c>
      <c r="O27" s="119"/>
      <c r="Q27" s="119"/>
    </row>
    <row r="28" spans="2:17">
      <c r="O28" s="119"/>
      <c r="Q28" s="119"/>
    </row>
    <row r="29" spans="2:17">
      <c r="O29" s="119"/>
      <c r="Q29" t="s">
        <v>2659</v>
      </c>
    </row>
    <row r="30" spans="2:17">
      <c r="B30" s="378" t="s">
        <v>2638</v>
      </c>
      <c r="O30" s="119"/>
      <c r="Q30" s="119"/>
    </row>
    <row r="31" spans="2:17">
      <c r="B31" s="451" t="s">
        <v>2641</v>
      </c>
      <c r="N31" s="378" t="s">
        <v>2642</v>
      </c>
      <c r="O31" s="119"/>
      <c r="Q31" s="119"/>
    </row>
    <row r="32" spans="2:17">
      <c r="B32" s="381"/>
      <c r="O32" s="119"/>
      <c r="Q32" s="119"/>
    </row>
    <row r="33" spans="1:24">
      <c r="B33" s="186"/>
      <c r="C33" s="186"/>
      <c r="D33" s="186"/>
      <c r="E33" s="186"/>
      <c r="F33" s="452" t="s">
        <v>1316</v>
      </c>
      <c r="G33" s="186"/>
      <c r="H33" s="186"/>
      <c r="I33" s="186"/>
      <c r="J33" s="186"/>
      <c r="K33" s="444" t="s">
        <v>38</v>
      </c>
      <c r="O33" s="1"/>
      <c r="Q33" s="119"/>
      <c r="R33" t="s">
        <v>1844</v>
      </c>
      <c r="U33" t="s">
        <v>1844</v>
      </c>
    </row>
    <row r="34" spans="1:24">
      <c r="A34" t="s">
        <v>2639</v>
      </c>
      <c r="B34">
        <v>1</v>
      </c>
      <c r="C34">
        <v>2</v>
      </c>
      <c r="J34">
        <v>80</v>
      </c>
      <c r="O34" s="1"/>
      <c r="Q34" s="119"/>
      <c r="R34" s="1"/>
      <c r="U34" s="1"/>
    </row>
    <row r="35" spans="1:24">
      <c r="A35">
        <v>1</v>
      </c>
      <c r="B35" s="446">
        <v>15</v>
      </c>
      <c r="C35" s="446">
        <v>256</v>
      </c>
      <c r="D35" s="446"/>
      <c r="E35" s="446"/>
      <c r="F35" s="446"/>
      <c r="G35" s="446"/>
      <c r="H35" s="446"/>
      <c r="I35" s="446">
        <v>178</v>
      </c>
      <c r="J35" s="446">
        <v>32</v>
      </c>
      <c r="K35" s="207">
        <v>1</v>
      </c>
      <c r="L35" s="119"/>
      <c r="M35" s="119"/>
      <c r="O35" s="1"/>
      <c r="Q35" s="119"/>
      <c r="R35" s="1"/>
      <c r="U35" s="1"/>
      <c r="X35" t="s">
        <v>837</v>
      </c>
    </row>
    <row r="36" spans="1:24">
      <c r="A36">
        <v>2</v>
      </c>
      <c r="K36" s="207">
        <v>0</v>
      </c>
      <c r="L36" s="119"/>
      <c r="M36" s="119"/>
      <c r="O36" s="1"/>
      <c r="Q36" s="119"/>
      <c r="R36" s="1"/>
      <c r="U36" s="1"/>
      <c r="X36" s="1"/>
    </row>
    <row r="37" spans="1:24">
      <c r="K37" s="207"/>
      <c r="L37" s="119"/>
      <c r="M37" s="119"/>
      <c r="O37" s="1"/>
      <c r="Q37" s="119"/>
      <c r="R37" s="1"/>
      <c r="U37" s="1"/>
      <c r="X37" s="1"/>
    </row>
    <row r="38" spans="1:24">
      <c r="K38" s="207"/>
      <c r="L38" s="119"/>
      <c r="M38" s="119"/>
      <c r="O38" s="1"/>
      <c r="Q38" s="119"/>
      <c r="R38" s="1"/>
      <c r="U38" s="1"/>
      <c r="X38" s="1"/>
    </row>
    <row r="39" spans="1:24">
      <c r="K39" s="207"/>
      <c r="L39" s="119"/>
      <c r="M39" s="119"/>
      <c r="O39" s="1"/>
      <c r="Q39" s="119"/>
      <c r="R39" s="1"/>
      <c r="U39" s="1"/>
    </row>
    <row r="40" spans="1:24">
      <c r="A40">
        <v>25000</v>
      </c>
      <c r="K40" s="207"/>
      <c r="L40" s="119"/>
      <c r="M40" s="119"/>
      <c r="O40" s="1"/>
      <c r="Q40" s="119"/>
      <c r="R40" s="1"/>
      <c r="U40" s="1"/>
    </row>
    <row r="41" spans="1:24" ht="21.75">
      <c r="E41" s="177" t="s">
        <v>2645</v>
      </c>
      <c r="O41" s="1"/>
      <c r="Q41" s="119"/>
    </row>
    <row r="42" spans="1:24">
      <c r="B42" s="435" t="s">
        <v>2644</v>
      </c>
      <c r="E42" s="150" t="s">
        <v>2646</v>
      </c>
      <c r="R42">
        <v>64</v>
      </c>
      <c r="U42">
        <v>64</v>
      </c>
    </row>
    <row r="43" spans="1:24">
      <c r="E43" s="150" t="s">
        <v>2647</v>
      </c>
      <c r="O43">
        <f>10000*100</f>
        <v>1000000</v>
      </c>
      <c r="P43">
        <v>100</v>
      </c>
    </row>
    <row r="44" spans="1:24">
      <c r="B44" s="451" t="s">
        <v>2643</v>
      </c>
    </row>
    <row r="45" spans="1:24">
      <c r="R45">
        <f>(P43+R42)*R42+R42</f>
        <v>10560</v>
      </c>
      <c r="U45">
        <f>(R42+U42)*U42+U42</f>
        <v>8256</v>
      </c>
      <c r="X45">
        <f>U42*1+1</f>
        <v>65</v>
      </c>
    </row>
    <row r="47" spans="1:24">
      <c r="K47" s="451" t="s">
        <v>2652</v>
      </c>
    </row>
    <row r="48" spans="1:24">
      <c r="T48">
        <f>O43+R45+U45+X45</f>
        <v>1018881</v>
      </c>
    </row>
    <row r="49" spans="1:16">
      <c r="K49" t="s">
        <v>2653</v>
      </c>
    </row>
    <row r="51" spans="1:16">
      <c r="L51" t="s">
        <v>2654</v>
      </c>
    </row>
    <row r="53" spans="1:16">
      <c r="L53" t="s">
        <v>2655</v>
      </c>
      <c r="N53">
        <f>128*195</f>
        <v>24960</v>
      </c>
    </row>
    <row r="55" spans="1:16">
      <c r="N55" t="s">
        <v>2656</v>
      </c>
    </row>
    <row r="56" spans="1:16">
      <c r="N56">
        <f>25000-24960</f>
        <v>40</v>
      </c>
      <c r="O56" t="s">
        <v>2657</v>
      </c>
      <c r="P56" t="s">
        <v>2658</v>
      </c>
    </row>
    <row r="62" spans="1:16">
      <c r="A62" s="381" t="s">
        <v>2649</v>
      </c>
      <c r="D62" s="435" t="s">
        <v>2650</v>
      </c>
    </row>
    <row r="63" spans="1:16">
      <c r="C63" s="186"/>
      <c r="D63" s="186"/>
      <c r="E63" s="186"/>
      <c r="F63" s="186"/>
      <c r="G63" s="452" t="s">
        <v>1316</v>
      </c>
      <c r="H63" s="186"/>
      <c r="I63" s="186"/>
      <c r="J63" s="186"/>
      <c r="K63" s="186"/>
      <c r="L63" t="s">
        <v>38</v>
      </c>
    </row>
    <row r="64" spans="1:16">
      <c r="B64" t="s">
        <v>2639</v>
      </c>
      <c r="C64">
        <v>1</v>
      </c>
      <c r="D64">
        <v>2</v>
      </c>
      <c r="K64">
        <v>80</v>
      </c>
    </row>
    <row r="65" spans="1:12">
      <c r="A65" t="s">
        <v>2648</v>
      </c>
      <c r="B65">
        <v>1</v>
      </c>
      <c r="C65" s="446">
        <v>550</v>
      </c>
      <c r="D65" s="446">
        <v>2</v>
      </c>
      <c r="E65" s="446"/>
      <c r="F65" s="446"/>
      <c r="G65" s="446"/>
      <c r="H65" s="446"/>
      <c r="I65" s="446"/>
      <c r="J65" s="446"/>
      <c r="K65" s="446">
        <v>635</v>
      </c>
      <c r="L65" s="207">
        <v>0</v>
      </c>
    </row>
    <row r="66" spans="1:12">
      <c r="B66">
        <v>2</v>
      </c>
      <c r="L66" s="207">
        <v>0</v>
      </c>
    </row>
    <row r="67" spans="1:12">
      <c r="L67" s="207"/>
    </row>
    <row r="68" spans="1:12">
      <c r="L68" s="207"/>
    </row>
    <row r="69" spans="1:12">
      <c r="L69" s="207"/>
    </row>
    <row r="70" spans="1:12">
      <c r="B70">
        <v>128</v>
      </c>
      <c r="L70" s="207">
        <v>1</v>
      </c>
    </row>
    <row r="75" spans="1:12">
      <c r="A75" s="381" t="s">
        <v>2651</v>
      </c>
    </row>
    <row r="89" spans="2:12">
      <c r="C89" s="186"/>
      <c r="D89" s="186"/>
      <c r="E89" s="186"/>
      <c r="F89" s="186"/>
      <c r="G89" s="452" t="s">
        <v>1316</v>
      </c>
      <c r="H89" s="186"/>
      <c r="I89" s="186"/>
      <c r="J89" s="186"/>
      <c r="K89" s="186"/>
      <c r="L89" t="s">
        <v>38</v>
      </c>
    </row>
    <row r="90" spans="2:12">
      <c r="B90" t="s">
        <v>2639</v>
      </c>
      <c r="C90">
        <v>1</v>
      </c>
      <c r="D90">
        <v>2</v>
      </c>
      <c r="K90">
        <v>80</v>
      </c>
    </row>
    <row r="91" spans="2:12">
      <c r="B91">
        <v>1</v>
      </c>
      <c r="C91" s="446">
        <v>16</v>
      </c>
      <c r="D91" s="446">
        <v>93</v>
      </c>
      <c r="E91" s="446"/>
      <c r="F91" s="446"/>
      <c r="G91" s="446"/>
      <c r="H91" s="446"/>
      <c r="I91" s="446"/>
      <c r="J91" s="446"/>
      <c r="K91" s="446">
        <v>14</v>
      </c>
      <c r="L91" s="207">
        <v>1</v>
      </c>
    </row>
    <row r="92" spans="2:12">
      <c r="B92">
        <v>2</v>
      </c>
      <c r="L92" s="207">
        <v>0</v>
      </c>
    </row>
    <row r="93" spans="2:12">
      <c r="L93" s="207"/>
    </row>
    <row r="94" spans="2:12">
      <c r="L94" s="207"/>
    </row>
    <row r="95" spans="2:12">
      <c r="L95" s="207"/>
    </row>
    <row r="96" spans="2:12">
      <c r="B96">
        <v>128</v>
      </c>
      <c r="L96" s="207">
        <v>1</v>
      </c>
    </row>
  </sheetData>
  <phoneticPr fontId="5" type="noConversion"/>
  <pageMargins left="0.7" right="0.7" top="0.75" bottom="0.75" header="0.3" footer="0.3"/>
  <pageSetup paperSize="9" orientation="portrait"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36"/>
  <sheetViews>
    <sheetView topLeftCell="A52" zoomScale="115" zoomScaleNormal="115" workbookViewId="0">
      <selection activeCell="B15" sqref="B15"/>
    </sheetView>
  </sheetViews>
  <sheetFormatPr defaultRowHeight="16.5"/>
  <sheetData>
    <row r="1" spans="2:2" s="1" customFormat="1">
      <c r="B1" s="1" t="s">
        <v>1455</v>
      </c>
    </row>
    <row r="17" spans="2:8" s="1" customFormat="1">
      <c r="B17" s="1" t="s">
        <v>0</v>
      </c>
    </row>
    <row r="19" spans="2:8">
      <c r="B19" t="s">
        <v>1</v>
      </c>
    </row>
    <row r="21" spans="2:8">
      <c r="B21" t="s">
        <v>2</v>
      </c>
      <c r="E21" t="s">
        <v>3</v>
      </c>
      <c r="F21" t="s">
        <v>7</v>
      </c>
    </row>
    <row r="22" spans="2:8">
      <c r="B22" t="s">
        <v>4</v>
      </c>
      <c r="E22" t="s">
        <v>5</v>
      </c>
      <c r="H22" t="s">
        <v>6</v>
      </c>
    </row>
    <row r="23" spans="2:8">
      <c r="E23" t="s">
        <v>8</v>
      </c>
    </row>
    <row r="25" spans="2:8" s="1" customFormat="1">
      <c r="B25" s="1" t="s">
        <v>9</v>
      </c>
    </row>
    <row r="26" spans="2:8">
      <c r="B26" t="s">
        <v>10</v>
      </c>
    </row>
    <row r="27" spans="2:8">
      <c r="D27" t="s">
        <v>11</v>
      </c>
    </row>
    <row r="30" spans="2:8" s="1" customFormat="1">
      <c r="B30" s="1" t="s">
        <v>12</v>
      </c>
      <c r="C30" s="1" t="s">
        <v>13</v>
      </c>
    </row>
    <row r="32" spans="2:8">
      <c r="C32" t="s">
        <v>14</v>
      </c>
    </row>
    <row r="48" spans="3:3">
      <c r="C48" s="2" t="s">
        <v>15</v>
      </c>
    </row>
    <row r="49" spans="2:3">
      <c r="C49" s="2" t="s">
        <v>16</v>
      </c>
    </row>
    <row r="52" spans="2:3" s="1" customFormat="1">
      <c r="B52" s="1" t="s">
        <v>17</v>
      </c>
    </row>
    <row r="54" spans="2:3">
      <c r="B54" t="s">
        <v>18</v>
      </c>
      <c r="C54" t="s">
        <v>19</v>
      </c>
    </row>
    <row r="55" spans="2:3">
      <c r="B55" t="s">
        <v>20</v>
      </c>
      <c r="C55" t="s">
        <v>21</v>
      </c>
    </row>
    <row r="62" spans="2:3" s="1" customFormat="1">
      <c r="B62" s="1" t="s">
        <v>22</v>
      </c>
    </row>
    <row r="64" spans="2:3">
      <c r="B64" s="3" t="s">
        <v>23</v>
      </c>
    </row>
    <row r="65" spans="2:6">
      <c r="B65" t="s">
        <v>24</v>
      </c>
    </row>
    <row r="66" spans="2:6">
      <c r="B66" t="s">
        <v>25</v>
      </c>
    </row>
    <row r="67" spans="2:6">
      <c r="B67" s="2" t="s">
        <v>26</v>
      </c>
    </row>
    <row r="71" spans="2:6">
      <c r="F71" t="s">
        <v>27</v>
      </c>
    </row>
    <row r="72" spans="2:6">
      <c r="F72" t="s">
        <v>28</v>
      </c>
    </row>
    <row r="78" spans="2:6" s="1" customFormat="1">
      <c r="B78" s="1" t="s">
        <v>29</v>
      </c>
    </row>
    <row r="80" spans="2:6">
      <c r="B80" t="s">
        <v>30</v>
      </c>
    </row>
    <row r="82" spans="2:2">
      <c r="B82" s="4" t="s">
        <v>31</v>
      </c>
    </row>
    <row r="84" spans="2:2" s="1" customFormat="1">
      <c r="B84" s="1" t="s">
        <v>32</v>
      </c>
    </row>
    <row r="94" spans="2:2" s="1" customFormat="1">
      <c r="B94" s="1" t="s">
        <v>36</v>
      </c>
    </row>
    <row r="128" ht="17.25" thickBot="1"/>
    <row r="129" spans="1:26" ht="17.25" thickBot="1">
      <c r="A129" s="5"/>
      <c r="B129" s="5"/>
      <c r="C129" s="6" t="s">
        <v>33</v>
      </c>
      <c r="D129" s="5"/>
      <c r="E129" s="5"/>
      <c r="F129" s="5"/>
      <c r="G129" s="5"/>
      <c r="H129" s="5"/>
      <c r="I129" s="5"/>
      <c r="J129" s="5"/>
      <c r="K129" s="5"/>
      <c r="L129" s="5"/>
      <c r="M129" s="5"/>
      <c r="N129" s="5"/>
      <c r="O129" s="5"/>
      <c r="P129" s="5"/>
      <c r="Q129" s="5"/>
      <c r="R129" s="5"/>
      <c r="S129" s="5"/>
      <c r="T129" s="5"/>
      <c r="U129" s="5"/>
      <c r="V129" s="5"/>
      <c r="W129" s="5"/>
      <c r="X129" s="5"/>
      <c r="Y129" s="5"/>
      <c r="Z129" s="5"/>
    </row>
    <row r="130" spans="1:26" ht="17.25" thickBot="1">
      <c r="A130" s="7"/>
      <c r="B130" s="7"/>
      <c r="C130" s="7"/>
      <c r="D130" s="7"/>
      <c r="E130" s="8"/>
      <c r="F130" s="7"/>
      <c r="G130" s="7"/>
      <c r="H130" s="7"/>
      <c r="I130" s="7"/>
      <c r="J130" s="7"/>
      <c r="K130" s="7"/>
      <c r="L130" s="7"/>
      <c r="M130" s="7"/>
      <c r="N130" s="7"/>
      <c r="O130" s="7"/>
      <c r="P130" s="7"/>
      <c r="Q130" s="7"/>
      <c r="R130" s="7"/>
      <c r="S130" s="7"/>
      <c r="T130" s="7"/>
      <c r="U130" s="7"/>
      <c r="V130" s="7"/>
      <c r="W130" s="7"/>
      <c r="X130" s="7"/>
      <c r="Y130" s="7"/>
      <c r="Z130" s="7"/>
    </row>
    <row r="131" spans="1:26" ht="17.25" thickBot="1">
      <c r="A131" s="7"/>
      <c r="B131" s="7"/>
      <c r="C131" s="8" t="s">
        <v>34</v>
      </c>
      <c r="D131" s="7"/>
      <c r="E131" s="7"/>
      <c r="F131" s="7"/>
      <c r="G131" s="7"/>
      <c r="H131" s="7"/>
      <c r="I131" s="7"/>
      <c r="J131" s="7"/>
      <c r="K131" s="7"/>
      <c r="L131" s="7"/>
      <c r="N131" s="7"/>
      <c r="O131" s="7"/>
      <c r="P131" s="7"/>
      <c r="Q131" s="7"/>
      <c r="R131" s="7"/>
      <c r="S131" s="7"/>
      <c r="T131" s="7"/>
      <c r="U131" s="7"/>
      <c r="V131" s="7"/>
      <c r="W131" s="7"/>
      <c r="X131" s="7"/>
      <c r="Y131" s="7"/>
      <c r="Z131" s="7"/>
    </row>
    <row r="132" spans="1:26" ht="17.25" thickBot="1">
      <c r="A132" s="7"/>
      <c r="B132" s="7"/>
      <c r="C132" s="7"/>
      <c r="D132" s="7"/>
      <c r="E132" s="7"/>
      <c r="F132" s="7"/>
      <c r="G132" s="7"/>
      <c r="H132" s="7"/>
      <c r="I132" s="7"/>
      <c r="J132" s="7"/>
      <c r="K132" s="7"/>
      <c r="L132" s="7"/>
      <c r="M132" s="7"/>
      <c r="N132" s="7" t="s">
        <v>35</v>
      </c>
      <c r="O132" s="7"/>
      <c r="P132" s="7"/>
      <c r="Q132" s="7"/>
      <c r="R132" s="7"/>
      <c r="S132" s="7"/>
      <c r="T132" s="7"/>
      <c r="U132" s="7"/>
      <c r="V132" s="7"/>
      <c r="W132" s="7"/>
      <c r="X132" s="7"/>
      <c r="Y132" s="7"/>
      <c r="Z132" s="7"/>
    </row>
    <row r="133" spans="1:26" ht="17.25" thickBot="1">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row>
    <row r="134" spans="1:26" ht="17.25" thickBot="1">
      <c r="A134" s="7"/>
      <c r="B134" s="7"/>
      <c r="C134" s="9">
        <v>1</v>
      </c>
      <c r="D134" s="9">
        <v>1</v>
      </c>
      <c r="E134" s="9">
        <v>2</v>
      </c>
      <c r="F134" s="9">
        <v>3</v>
      </c>
      <c r="G134" s="9">
        <v>5</v>
      </c>
      <c r="H134" s="9">
        <v>8</v>
      </c>
      <c r="I134" s="9">
        <v>13</v>
      </c>
      <c r="J134" s="9">
        <v>21</v>
      </c>
      <c r="K134" s="9">
        <v>34</v>
      </c>
      <c r="L134" s="9">
        <v>55</v>
      </c>
      <c r="M134" s="7"/>
      <c r="N134" s="7"/>
      <c r="O134" s="7"/>
      <c r="P134" s="7"/>
      <c r="Q134" s="7"/>
      <c r="R134" s="7"/>
      <c r="S134" s="7"/>
      <c r="T134" s="7"/>
      <c r="U134" s="7"/>
      <c r="V134" s="7"/>
      <c r="W134" s="7"/>
      <c r="X134" s="7"/>
      <c r="Y134" s="7"/>
      <c r="Z134" s="7"/>
    </row>
    <row r="135" spans="1:26" ht="17.25" thickBot="1">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row>
    <row r="136" spans="1:26" ht="17.25" thickBot="1">
      <c r="A136" s="7"/>
      <c r="B136" s="7"/>
      <c r="C136" s="7">
        <v>1</v>
      </c>
      <c r="D136" s="7">
        <v>1</v>
      </c>
      <c r="E136" s="7">
        <f>D136+C136</f>
        <v>2</v>
      </c>
      <c r="F136" s="7">
        <f t="shared" ref="F136:L136" si="0">E136+D136</f>
        <v>3</v>
      </c>
      <c r="G136" s="7">
        <f t="shared" si="0"/>
        <v>5</v>
      </c>
      <c r="H136" s="7">
        <f t="shared" si="0"/>
        <v>8</v>
      </c>
      <c r="I136" s="7">
        <f t="shared" si="0"/>
        <v>13</v>
      </c>
      <c r="J136" s="7">
        <f t="shared" si="0"/>
        <v>21</v>
      </c>
      <c r="K136" s="7">
        <f t="shared" si="0"/>
        <v>34</v>
      </c>
      <c r="L136" s="7">
        <f t="shared" si="0"/>
        <v>55</v>
      </c>
      <c r="M136" s="7"/>
      <c r="N136" s="7"/>
      <c r="O136" s="7"/>
      <c r="P136" s="7"/>
      <c r="Q136" s="7"/>
      <c r="R136" s="7"/>
      <c r="S136" s="7"/>
      <c r="T136" s="7"/>
      <c r="U136" s="7"/>
      <c r="V136" s="7"/>
      <c r="W136" s="7"/>
      <c r="X136" s="7"/>
      <c r="Y136" s="7"/>
      <c r="Z136" s="7"/>
    </row>
  </sheetData>
  <phoneticPr fontId="5" type="noConversion"/>
  <hyperlinks>
    <hyperlink ref="B82" r:id="rId1" location="scrollTo=_Dt-Fv8CDnRs" xr:uid="{00000000-0004-0000-0500-000000000000}"/>
  </hyperlinks>
  <pageMargins left="0.7" right="0.7" top="0.75" bottom="0.75" header="0.3" footer="0.3"/>
  <pageSetup paperSize="9" orientation="portrait" r:id="rId2"/>
  <drawing r:id="rId3"/>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B00-000000000000}">
  <dimension ref="A3:S66"/>
  <sheetViews>
    <sheetView topLeftCell="A31" zoomScale="85" zoomScaleNormal="85" workbookViewId="0">
      <selection activeCell="D63" sqref="D63"/>
    </sheetView>
  </sheetViews>
  <sheetFormatPr defaultRowHeight="16.5"/>
  <cols>
    <col min="6" max="6" width="23.625" customWidth="1"/>
  </cols>
  <sheetData>
    <row r="3" spans="2:7">
      <c r="B3" t="s">
        <v>839</v>
      </c>
      <c r="F3" t="s">
        <v>844</v>
      </c>
      <c r="G3" s="151">
        <v>11228</v>
      </c>
    </row>
    <row r="5" spans="2:7">
      <c r="B5" s="228" t="s">
        <v>840</v>
      </c>
    </row>
    <row r="6" spans="2:7">
      <c r="B6" s="122" t="s">
        <v>841</v>
      </c>
    </row>
    <row r="8" spans="2:7">
      <c r="B8" s="151" t="s">
        <v>842</v>
      </c>
    </row>
    <row r="10" spans="2:7">
      <c r="B10" t="s">
        <v>843</v>
      </c>
    </row>
    <row r="13" spans="2:7">
      <c r="B13" t="s">
        <v>847</v>
      </c>
    </row>
    <row r="15" spans="2:7">
      <c r="B15" t="s">
        <v>848</v>
      </c>
      <c r="G15" t="s">
        <v>849</v>
      </c>
    </row>
    <row r="17" spans="1:16">
      <c r="B17" t="s">
        <v>845</v>
      </c>
      <c r="M17" t="s">
        <v>880</v>
      </c>
    </row>
    <row r="18" spans="1:16">
      <c r="M18" s="207"/>
    </row>
    <row r="19" spans="1:16">
      <c r="B19" t="s">
        <v>846</v>
      </c>
      <c r="F19" t="s">
        <v>908</v>
      </c>
      <c r="G19">
        <f>1000*100</f>
        <v>100000</v>
      </c>
      <c r="L19">
        <v>1</v>
      </c>
      <c r="M19" s="207"/>
      <c r="P19">
        <v>46</v>
      </c>
    </row>
    <row r="20" spans="1:16">
      <c r="B20" t="s">
        <v>850</v>
      </c>
      <c r="M20" s="207"/>
      <c r="P20" t="s">
        <v>907</v>
      </c>
    </row>
    <row r="21" spans="1:16">
      <c r="B21" s="540" t="s">
        <v>882</v>
      </c>
      <c r="C21" s="540"/>
      <c r="D21" s="540"/>
      <c r="E21" s="540"/>
      <c r="F21" s="540"/>
      <c r="G21" s="540"/>
      <c r="H21" s="540"/>
      <c r="I21" s="540"/>
      <c r="J21" s="540"/>
      <c r="M21" s="207"/>
      <c r="P21" s="207"/>
    </row>
    <row r="22" spans="1:16">
      <c r="E22" t="s">
        <v>879</v>
      </c>
      <c r="I22" t="s">
        <v>878</v>
      </c>
      <c r="M22" s="207"/>
      <c r="P22" s="207"/>
    </row>
    <row r="23" spans="1:16">
      <c r="B23" t="s">
        <v>873</v>
      </c>
      <c r="C23" t="s">
        <v>874</v>
      </c>
      <c r="D23" t="s">
        <v>874</v>
      </c>
      <c r="I23" t="s">
        <v>875</v>
      </c>
      <c r="M23" s="207"/>
      <c r="P23" s="207"/>
    </row>
    <row r="24" spans="1:16">
      <c r="A24" t="s">
        <v>870</v>
      </c>
      <c r="B24" s="133">
        <v>0</v>
      </c>
      <c r="C24" s="133">
        <v>0</v>
      </c>
      <c r="D24" s="133">
        <v>0</v>
      </c>
      <c r="E24" s="133"/>
      <c r="F24" s="133"/>
      <c r="G24" s="133"/>
      <c r="I24" s="186">
        <v>0</v>
      </c>
      <c r="J24" t="s">
        <v>876</v>
      </c>
      <c r="K24" t="s">
        <v>877</v>
      </c>
      <c r="M24" s="207"/>
      <c r="P24" s="207"/>
    </row>
    <row r="25" spans="1:16">
      <c r="A25" t="s">
        <v>871</v>
      </c>
      <c r="B25" s="133"/>
      <c r="C25" s="133"/>
      <c r="D25" s="133"/>
      <c r="E25" s="133"/>
      <c r="F25" s="133"/>
      <c r="G25" s="133"/>
      <c r="I25" s="186">
        <v>1</v>
      </c>
      <c r="M25" s="207"/>
      <c r="P25" s="207"/>
    </row>
    <row r="26" spans="1:16">
      <c r="B26" s="133"/>
      <c r="C26" s="133"/>
      <c r="D26" s="133"/>
      <c r="E26" s="133"/>
      <c r="F26" s="133"/>
      <c r="G26" s="133"/>
      <c r="I26" s="186"/>
      <c r="M26" s="207"/>
      <c r="P26" s="207"/>
    </row>
    <row r="27" spans="1:16">
      <c r="B27" s="133"/>
      <c r="C27" s="133"/>
      <c r="D27" s="133"/>
      <c r="E27" s="133"/>
      <c r="F27" s="133"/>
      <c r="G27" s="133"/>
      <c r="I27" s="186"/>
      <c r="M27" s="207"/>
      <c r="P27" s="207"/>
    </row>
    <row r="28" spans="1:16">
      <c r="A28" t="s">
        <v>872</v>
      </c>
      <c r="B28" s="133"/>
      <c r="C28" s="133"/>
      <c r="D28" s="133"/>
      <c r="E28" s="133"/>
      <c r="F28" s="133"/>
      <c r="G28" s="133"/>
      <c r="I28" s="186">
        <v>45</v>
      </c>
      <c r="M28" s="207"/>
      <c r="P28" s="207"/>
    </row>
    <row r="29" spans="1:16">
      <c r="M29" s="207"/>
      <c r="P29" s="207"/>
    </row>
    <row r="30" spans="1:16">
      <c r="M30" s="207"/>
      <c r="P30" s="207"/>
    </row>
    <row r="31" spans="1:16">
      <c r="M31" s="207"/>
      <c r="P31" s="207"/>
    </row>
    <row r="32" spans="1:16">
      <c r="M32" s="207"/>
    </row>
    <row r="33" spans="2:19">
      <c r="M33" s="207"/>
      <c r="O33">
        <f>100*46</f>
        <v>4600</v>
      </c>
      <c r="P33">
        <v>46</v>
      </c>
    </row>
    <row r="34" spans="2:19">
      <c r="L34">
        <v>100</v>
      </c>
      <c r="M34" s="207"/>
      <c r="P34">
        <f>O33+P33</f>
        <v>4646</v>
      </c>
    </row>
    <row r="35" spans="2:19">
      <c r="B35" t="s">
        <v>880</v>
      </c>
      <c r="C35" t="s">
        <v>909</v>
      </c>
      <c r="M35" s="207"/>
    </row>
    <row r="36" spans="2:19">
      <c r="M36" s="207"/>
    </row>
    <row r="37" spans="2:19">
      <c r="D37" t="s">
        <v>910</v>
      </c>
      <c r="M37" t="s">
        <v>881</v>
      </c>
    </row>
    <row r="39" spans="2:19" ht="17.25" thickBot="1"/>
    <row r="40" spans="2:19" ht="17.25" thickBot="1">
      <c r="C40" s="90" t="s">
        <v>911</v>
      </c>
      <c r="L40" s="215" t="s">
        <v>883</v>
      </c>
      <c r="R40" s="239" t="s">
        <v>900</v>
      </c>
      <c r="S40" s="240"/>
    </row>
    <row r="41" spans="2:19" ht="17.25" thickBot="1">
      <c r="C41" s="90" t="s">
        <v>912</v>
      </c>
      <c r="L41" s="215" t="s">
        <v>884</v>
      </c>
      <c r="R41" s="7"/>
      <c r="S41" s="7"/>
    </row>
    <row r="42" spans="2:19" ht="17.25" thickBot="1">
      <c r="C42" s="90" t="s">
        <v>913</v>
      </c>
      <c r="L42" s="215" t="s">
        <v>885</v>
      </c>
      <c r="R42" s="7"/>
      <c r="S42" s="7"/>
    </row>
    <row r="43" spans="2:19" ht="17.25" thickBot="1">
      <c r="L43" s="215" t="s">
        <v>886</v>
      </c>
      <c r="R43" s="8" t="s">
        <v>901</v>
      </c>
      <c r="S43" s="7"/>
    </row>
    <row r="44" spans="2:19" ht="17.25" thickBot="1">
      <c r="L44" s="215" t="s">
        <v>691</v>
      </c>
      <c r="R44" s="7"/>
      <c r="S44" s="7"/>
    </row>
    <row r="45" spans="2:19" ht="17.25" thickBot="1">
      <c r="C45" t="s">
        <v>914</v>
      </c>
      <c r="L45" s="215" t="s">
        <v>692</v>
      </c>
      <c r="R45" s="8" t="s">
        <v>902</v>
      </c>
      <c r="S45" s="7"/>
    </row>
    <row r="46" spans="2:19" ht="17.25" thickBot="1">
      <c r="L46" s="215" t="s">
        <v>887</v>
      </c>
      <c r="R46" s="7"/>
      <c r="S46" s="7"/>
    </row>
    <row r="47" spans="2:19" ht="17.25" thickBot="1">
      <c r="C47" t="s">
        <v>915</v>
      </c>
      <c r="L47" s="215" t="s">
        <v>693</v>
      </c>
      <c r="R47" s="8" t="s">
        <v>903</v>
      </c>
      <c r="S47" s="7"/>
    </row>
    <row r="48" spans="2:19" ht="17.25" thickBot="1">
      <c r="L48" s="215" t="s">
        <v>888</v>
      </c>
      <c r="R48" s="7"/>
      <c r="S48" s="7"/>
    </row>
    <row r="49" spans="3:19" ht="17.25" thickBot="1">
      <c r="L49" s="215" t="s">
        <v>694</v>
      </c>
      <c r="R49" s="8" t="s">
        <v>904</v>
      </c>
      <c r="S49" s="7"/>
    </row>
    <row r="50" spans="3:19" ht="18" thickBot="1">
      <c r="C50" s="241" t="s">
        <v>916</v>
      </c>
      <c r="L50" s="215" t="s">
        <v>889</v>
      </c>
      <c r="R50" s="7"/>
      <c r="S50" s="7"/>
    </row>
    <row r="51" spans="3:19" ht="17.25" thickBot="1">
      <c r="L51" s="215" t="s">
        <v>695</v>
      </c>
      <c r="R51" s="8" t="s">
        <v>905</v>
      </c>
      <c r="S51" s="7"/>
    </row>
    <row r="52" spans="3:19" ht="17.25" thickBot="1">
      <c r="C52" t="s">
        <v>917</v>
      </c>
      <c r="F52">
        <f>100*4*100</f>
        <v>40000</v>
      </c>
      <c r="L52" s="215" t="s">
        <v>696</v>
      </c>
      <c r="R52" s="7"/>
      <c r="S52" s="7"/>
    </row>
    <row r="53" spans="3:19" ht="17.25" thickBot="1">
      <c r="L53" s="215" t="s">
        <v>697</v>
      </c>
      <c r="R53" s="8" t="s">
        <v>906</v>
      </c>
      <c r="S53" s="7"/>
    </row>
    <row r="54" spans="3:19" ht="17.25">
      <c r="C54" s="241" t="s">
        <v>918</v>
      </c>
      <c r="L54" s="215" t="s">
        <v>890</v>
      </c>
    </row>
    <row r="55" spans="3:19">
      <c r="L55" s="215" t="s">
        <v>698</v>
      </c>
    </row>
    <row r="56" spans="3:19">
      <c r="C56" t="s">
        <v>919</v>
      </c>
      <c r="F56">
        <f>100*4*100</f>
        <v>40000</v>
      </c>
      <c r="L56" s="215" t="s">
        <v>891</v>
      </c>
    </row>
    <row r="57" spans="3:19">
      <c r="L57" s="215" t="s">
        <v>892</v>
      </c>
    </row>
    <row r="58" spans="3:19" ht="17.25">
      <c r="C58" s="241" t="s">
        <v>920</v>
      </c>
      <c r="L58" s="215" t="s">
        <v>893</v>
      </c>
    </row>
    <row r="59" spans="3:19">
      <c r="L59" s="215" t="s">
        <v>894</v>
      </c>
    </row>
    <row r="60" spans="3:19">
      <c r="C60" t="s">
        <v>921</v>
      </c>
      <c r="F60">
        <f>4*100</f>
        <v>400</v>
      </c>
      <c r="L60" s="215" t="s">
        <v>895</v>
      </c>
    </row>
    <row r="61" spans="3:19">
      <c r="L61" s="215" t="s">
        <v>896</v>
      </c>
    </row>
    <row r="62" spans="3:19">
      <c r="L62" s="215" t="s">
        <v>897</v>
      </c>
    </row>
    <row r="63" spans="3:19">
      <c r="D63" t="s">
        <v>922</v>
      </c>
      <c r="F63" s="127">
        <f>G19+F52+F56+F60+P34</f>
        <v>185046</v>
      </c>
      <c r="L63" s="215" t="s">
        <v>898</v>
      </c>
    </row>
    <row r="64" spans="3:19">
      <c r="L64" s="215" t="s">
        <v>899</v>
      </c>
    </row>
    <row r="65" spans="12:12">
      <c r="L65" s="215" t="s">
        <v>699</v>
      </c>
    </row>
    <row r="66" spans="12:12">
      <c r="L66" s="215" t="s">
        <v>700</v>
      </c>
    </row>
  </sheetData>
  <mergeCells count="1">
    <mergeCell ref="B21:J21"/>
  </mergeCells>
  <phoneticPr fontId="5" type="noConversion"/>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C00-000000000000}">
  <dimension ref="A3:V73"/>
  <sheetViews>
    <sheetView topLeftCell="A43" zoomScaleNormal="100" workbookViewId="0">
      <selection activeCell="F63" sqref="F63:K63"/>
    </sheetView>
  </sheetViews>
  <sheetFormatPr defaultRowHeight="16.5"/>
  <cols>
    <col min="6" max="6" width="23.625" customWidth="1"/>
    <col min="7" max="7" width="11.5" bestFit="1" customWidth="1"/>
  </cols>
  <sheetData>
    <row r="3" spans="2:13">
      <c r="B3" t="s">
        <v>2692</v>
      </c>
      <c r="G3" s="151"/>
    </row>
    <row r="5" spans="2:13">
      <c r="B5" s="228"/>
    </row>
    <row r="6" spans="2:13">
      <c r="B6" s="122"/>
    </row>
    <row r="8" spans="2:13">
      <c r="B8" s="151"/>
    </row>
    <row r="16" spans="2:13">
      <c r="B16" s="186"/>
      <c r="C16" s="186"/>
      <c r="D16" s="186"/>
      <c r="E16" s="186"/>
      <c r="F16" s="452" t="s">
        <v>1316</v>
      </c>
      <c r="G16" s="186"/>
      <c r="H16" s="186"/>
      <c r="I16" s="186"/>
      <c r="J16" s="186"/>
      <c r="K16" s="444" t="s">
        <v>38</v>
      </c>
      <c r="L16" s="444"/>
      <c r="M16" s="444"/>
    </row>
    <row r="17" spans="1:19">
      <c r="A17" t="s">
        <v>2639</v>
      </c>
      <c r="B17">
        <v>1</v>
      </c>
      <c r="C17">
        <v>2</v>
      </c>
      <c r="J17">
        <v>80</v>
      </c>
      <c r="M17" s="378" t="s">
        <v>2642</v>
      </c>
      <c r="O17" t="s">
        <v>880</v>
      </c>
    </row>
    <row r="18" spans="1:19">
      <c r="A18">
        <v>1</v>
      </c>
      <c r="B18" s="446">
        <v>15</v>
      </c>
      <c r="C18" s="446">
        <v>256</v>
      </c>
      <c r="D18" s="446"/>
      <c r="E18" s="446"/>
      <c r="F18" s="446"/>
      <c r="G18" s="446"/>
      <c r="H18" s="446"/>
      <c r="I18" s="446">
        <v>178</v>
      </c>
      <c r="J18" s="446">
        <v>32</v>
      </c>
      <c r="K18" s="207">
        <v>1</v>
      </c>
      <c r="L18" s="119"/>
      <c r="M18" s="119"/>
      <c r="O18" s="207"/>
      <c r="P18" s="119"/>
      <c r="Q18" s="207"/>
    </row>
    <row r="19" spans="1:19">
      <c r="A19">
        <v>2</v>
      </c>
      <c r="K19" s="207">
        <v>0</v>
      </c>
      <c r="L19" s="119"/>
      <c r="M19" s="1"/>
      <c r="N19">
        <v>1</v>
      </c>
      <c r="O19" s="207"/>
      <c r="P19" s="119"/>
      <c r="Q19" s="207"/>
    </row>
    <row r="20" spans="1:19">
      <c r="K20" s="207"/>
      <c r="L20" s="119"/>
      <c r="M20" s="1"/>
      <c r="O20" s="207"/>
      <c r="P20" s="119"/>
      <c r="Q20" s="207"/>
      <c r="S20" t="s">
        <v>907</v>
      </c>
    </row>
    <row r="21" spans="1:19">
      <c r="K21" s="207"/>
      <c r="L21" s="119"/>
      <c r="M21" s="1"/>
      <c r="O21" s="207"/>
      <c r="P21" s="119"/>
      <c r="Q21" s="207"/>
      <c r="S21" s="207"/>
    </row>
    <row r="22" spans="1:19">
      <c r="K22" s="207"/>
      <c r="L22" s="119"/>
      <c r="M22" s="1"/>
      <c r="O22" s="207"/>
      <c r="P22" s="119"/>
      <c r="Q22" s="207"/>
      <c r="S22" s="207"/>
    </row>
    <row r="23" spans="1:19">
      <c r="A23">
        <v>25000</v>
      </c>
      <c r="K23" s="207"/>
      <c r="L23" s="119"/>
      <c r="M23" s="1"/>
      <c r="O23" s="207"/>
      <c r="P23" s="119"/>
      <c r="Q23" s="207"/>
      <c r="S23" s="207"/>
    </row>
    <row r="24" spans="1:19">
      <c r="A24" s="152"/>
      <c r="B24" s="152"/>
      <c r="C24" s="152"/>
      <c r="D24" s="152"/>
      <c r="E24" s="152"/>
      <c r="F24" s="152"/>
      <c r="G24" s="152"/>
      <c r="H24" s="152"/>
      <c r="I24" s="152"/>
      <c r="J24" s="152"/>
      <c r="K24" s="152"/>
      <c r="L24" s="152"/>
      <c r="M24" s="1"/>
      <c r="O24" s="207"/>
      <c r="P24" s="119"/>
      <c r="Q24" s="207"/>
      <c r="S24" s="207"/>
    </row>
    <row r="25" spans="1:19">
      <c r="A25" s="152"/>
      <c r="B25" s="152"/>
      <c r="C25" s="152"/>
      <c r="D25" s="152"/>
      <c r="E25" s="152"/>
      <c r="F25" s="152"/>
      <c r="G25" s="152"/>
      <c r="H25" s="152"/>
      <c r="I25" s="152"/>
      <c r="J25" s="152"/>
      <c r="K25" s="152"/>
      <c r="L25" s="152"/>
      <c r="M25" s="1"/>
      <c r="O25" s="207"/>
      <c r="P25" s="119"/>
      <c r="Q25" s="207"/>
      <c r="S25" s="207"/>
    </row>
    <row r="26" spans="1:19">
      <c r="A26" s="152"/>
      <c r="B26" s="152"/>
      <c r="C26" s="152"/>
      <c r="D26" s="152"/>
      <c r="E26" s="152"/>
      <c r="F26" s="152"/>
      <c r="G26" s="152"/>
      <c r="H26" s="152"/>
      <c r="I26" s="152"/>
      <c r="J26" s="152"/>
      <c r="K26" s="152"/>
      <c r="L26" s="152"/>
      <c r="M26" s="1"/>
      <c r="O26" s="207"/>
      <c r="P26" s="119"/>
      <c r="Q26" s="207"/>
      <c r="S26" s="207"/>
    </row>
    <row r="27" spans="1:19">
      <c r="A27" s="152"/>
      <c r="B27" s="152"/>
      <c r="C27" s="152"/>
      <c r="D27" s="152"/>
      <c r="E27" s="152"/>
      <c r="F27" s="152"/>
      <c r="G27" s="152"/>
      <c r="H27" s="152"/>
      <c r="I27" s="152"/>
      <c r="J27" s="152"/>
      <c r="K27" s="152"/>
      <c r="L27" s="152"/>
      <c r="M27" s="1"/>
      <c r="O27" s="207"/>
      <c r="P27" s="119"/>
      <c r="Q27" s="207"/>
      <c r="S27" s="207"/>
    </row>
    <row r="28" spans="1:19">
      <c r="A28" s="152"/>
      <c r="B28" s="152"/>
      <c r="C28" s="152"/>
      <c r="D28" s="152"/>
      <c r="E28" s="152"/>
      <c r="F28" s="152"/>
      <c r="G28" s="152"/>
      <c r="H28" s="152"/>
      <c r="I28" s="152"/>
      <c r="J28" s="152"/>
      <c r="K28" s="152"/>
      <c r="L28" s="152"/>
      <c r="M28" s="152"/>
      <c r="O28" s="207"/>
      <c r="P28" s="119"/>
      <c r="Q28" s="207"/>
      <c r="S28" s="207"/>
    </row>
    <row r="29" spans="1:19">
      <c r="A29" s="152"/>
      <c r="B29" s="152"/>
      <c r="C29" s="152"/>
      <c r="D29" s="152"/>
      <c r="E29" s="152"/>
      <c r="F29" s="152"/>
      <c r="G29" s="152"/>
      <c r="H29" s="152"/>
      <c r="I29" s="152"/>
      <c r="J29" s="152"/>
      <c r="K29" s="152"/>
      <c r="L29" s="152"/>
      <c r="M29" s="152"/>
      <c r="O29" s="207"/>
      <c r="P29" s="119"/>
      <c r="Q29" s="207"/>
      <c r="S29" s="207"/>
    </row>
    <row r="30" spans="1:19">
      <c r="O30" s="207"/>
      <c r="P30" s="119"/>
      <c r="Q30" s="207"/>
      <c r="S30" s="207"/>
    </row>
    <row r="31" spans="1:19">
      <c r="O31" s="207"/>
      <c r="P31" s="119"/>
      <c r="Q31" s="207"/>
      <c r="S31" s="207"/>
    </row>
    <row r="32" spans="1:19">
      <c r="O32" s="207"/>
      <c r="P32" s="119"/>
      <c r="Q32" s="207"/>
    </row>
    <row r="33" spans="2:22">
      <c r="O33" s="207"/>
      <c r="P33" s="119"/>
      <c r="Q33" s="207"/>
      <c r="S33">
        <v>1</v>
      </c>
    </row>
    <row r="34" spans="2:22">
      <c r="M34">
        <f>10000*100</f>
        <v>1000000</v>
      </c>
      <c r="N34">
        <v>64</v>
      </c>
      <c r="O34" s="207"/>
      <c r="P34" s="119"/>
      <c r="Q34" s="207"/>
    </row>
    <row r="35" spans="2:22">
      <c r="B35" t="s">
        <v>880</v>
      </c>
      <c r="C35" t="s">
        <v>909</v>
      </c>
      <c r="O35" s="207"/>
      <c r="P35" s="119"/>
      <c r="Q35" s="207"/>
    </row>
    <row r="36" spans="2:22">
      <c r="O36" s="207"/>
      <c r="P36" s="119"/>
      <c r="Q36" s="207"/>
    </row>
    <row r="37" spans="2:22">
      <c r="D37" t="s">
        <v>910</v>
      </c>
      <c r="O37" t="s">
        <v>2693</v>
      </c>
      <c r="Q37" t="s">
        <v>2693</v>
      </c>
    </row>
    <row r="38" spans="2:22">
      <c r="O38">
        <v>64</v>
      </c>
      <c r="Q38">
        <v>64</v>
      </c>
      <c r="S38">
        <f>Q38*S33+S33</f>
        <v>65</v>
      </c>
    </row>
    <row r="39" spans="2:22" ht="17.25" thickBot="1"/>
    <row r="40" spans="2:22" ht="17.25" thickBot="1">
      <c r="C40" s="90" t="s">
        <v>911</v>
      </c>
      <c r="N40" s="215" t="s">
        <v>883</v>
      </c>
      <c r="U40" s="460"/>
      <c r="V40" s="461"/>
    </row>
    <row r="41" spans="2:22" ht="17.25" thickBot="1">
      <c r="C41" s="90" t="s">
        <v>912</v>
      </c>
      <c r="N41" s="215" t="s">
        <v>884</v>
      </c>
      <c r="U41" s="462"/>
      <c r="V41" s="461"/>
    </row>
    <row r="42" spans="2:22" ht="17.25" thickBot="1">
      <c r="C42" s="90" t="s">
        <v>913</v>
      </c>
      <c r="N42" s="215" t="s">
        <v>885</v>
      </c>
      <c r="U42" s="462"/>
      <c r="V42" s="461"/>
    </row>
    <row r="43" spans="2:22" ht="17.25" thickBot="1">
      <c r="N43" s="215" t="s">
        <v>886</v>
      </c>
      <c r="U43" s="463"/>
      <c r="V43" s="461"/>
    </row>
    <row r="44" spans="2:22" ht="17.25" thickBot="1">
      <c r="N44" s="215" t="s">
        <v>691</v>
      </c>
      <c r="U44" s="462"/>
      <c r="V44" s="461"/>
    </row>
    <row r="45" spans="2:22" ht="17.25" thickBot="1">
      <c r="C45" t="s">
        <v>914</v>
      </c>
      <c r="N45" s="215" t="s">
        <v>692</v>
      </c>
      <c r="U45" s="463"/>
      <c r="V45" s="461"/>
    </row>
    <row r="46" spans="2:22" ht="17.25" thickBot="1">
      <c r="N46" s="215" t="s">
        <v>887</v>
      </c>
      <c r="U46" s="462"/>
      <c r="V46" s="461"/>
    </row>
    <row r="47" spans="2:22" ht="17.25" thickBot="1">
      <c r="C47" t="s">
        <v>915</v>
      </c>
      <c r="N47" s="215" t="s">
        <v>693</v>
      </c>
      <c r="U47" s="463"/>
      <c r="V47" s="461"/>
    </row>
    <row r="48" spans="2:22" ht="17.25" thickBot="1">
      <c r="N48" s="215" t="s">
        <v>888</v>
      </c>
      <c r="U48" s="462"/>
      <c r="V48" s="461"/>
    </row>
    <row r="49" spans="3:22" ht="17.25" thickBot="1">
      <c r="N49" s="215" t="s">
        <v>694</v>
      </c>
      <c r="U49" s="463"/>
      <c r="V49" s="461"/>
    </row>
    <row r="50" spans="3:22" ht="18" thickBot="1">
      <c r="C50" s="241" t="s">
        <v>2694</v>
      </c>
      <c r="H50" s="241" t="s">
        <v>916</v>
      </c>
      <c r="N50" s="215" t="s">
        <v>889</v>
      </c>
      <c r="U50" s="462"/>
      <c r="V50" s="461"/>
    </row>
    <row r="51" spans="3:22" ht="17.25" thickBot="1">
      <c r="N51" s="215" t="s">
        <v>695</v>
      </c>
      <c r="U51" s="463"/>
      <c r="V51" s="461"/>
    </row>
    <row r="52" spans="3:22" ht="17.25" thickBot="1">
      <c r="C52" t="s">
        <v>917</v>
      </c>
      <c r="F52">
        <f>100*4*64</f>
        <v>25600</v>
      </c>
      <c r="H52" t="s">
        <v>917</v>
      </c>
      <c r="K52">
        <f>64*4*64</f>
        <v>16384</v>
      </c>
      <c r="N52" s="215" t="s">
        <v>696</v>
      </c>
      <c r="U52" s="462"/>
      <c r="V52" s="461"/>
    </row>
    <row r="53" spans="3:22" ht="17.25" thickBot="1">
      <c r="N53" s="215" t="s">
        <v>697</v>
      </c>
      <c r="U53" s="463"/>
      <c r="V53" s="461"/>
    </row>
    <row r="54" spans="3:22" ht="17.25">
      <c r="C54" s="241" t="s">
        <v>2695</v>
      </c>
      <c r="H54" s="241" t="s">
        <v>918</v>
      </c>
      <c r="N54" s="215" t="s">
        <v>890</v>
      </c>
    </row>
    <row r="55" spans="3:22">
      <c r="N55" s="215" t="s">
        <v>698</v>
      </c>
    </row>
    <row r="56" spans="3:22">
      <c r="C56" t="s">
        <v>919</v>
      </c>
      <c r="F56">
        <f>64*4*64</f>
        <v>16384</v>
      </c>
      <c r="H56" t="s">
        <v>919</v>
      </c>
      <c r="K56">
        <f>64*4*64</f>
        <v>16384</v>
      </c>
      <c r="N56" s="215" t="s">
        <v>891</v>
      </c>
    </row>
    <row r="57" spans="3:22">
      <c r="N57" s="215" t="s">
        <v>892</v>
      </c>
    </row>
    <row r="58" spans="3:22" ht="17.25">
      <c r="C58" s="241" t="s">
        <v>920</v>
      </c>
      <c r="H58" s="241" t="s">
        <v>920</v>
      </c>
      <c r="N58" s="215" t="s">
        <v>893</v>
      </c>
    </row>
    <row r="59" spans="3:22">
      <c r="N59" s="215" t="s">
        <v>894</v>
      </c>
    </row>
    <row r="60" spans="3:22">
      <c r="C60" t="s">
        <v>921</v>
      </c>
      <c r="F60">
        <f>4*64</f>
        <v>256</v>
      </c>
      <c r="H60" t="s">
        <v>921</v>
      </c>
      <c r="K60">
        <f>4*64</f>
        <v>256</v>
      </c>
      <c r="N60" s="215" t="s">
        <v>895</v>
      </c>
    </row>
    <row r="61" spans="3:22">
      <c r="N61" s="215" t="s">
        <v>896</v>
      </c>
    </row>
    <row r="62" spans="3:22">
      <c r="N62" s="215" t="s">
        <v>897</v>
      </c>
    </row>
    <row r="63" spans="3:22">
      <c r="F63" s="459">
        <f>G19+F52+F56+F60</f>
        <v>42240</v>
      </c>
      <c r="K63" s="198">
        <f>SUM(K52+K56+K60)</f>
        <v>33024</v>
      </c>
      <c r="N63" s="215" t="s">
        <v>898</v>
      </c>
    </row>
    <row r="64" spans="3:22">
      <c r="N64" s="215" t="s">
        <v>899</v>
      </c>
    </row>
    <row r="65" spans="3:14">
      <c r="N65" s="215" t="s">
        <v>699</v>
      </c>
    </row>
    <row r="66" spans="3:14" ht="20.25">
      <c r="E66" t="s">
        <v>922</v>
      </c>
      <c r="G66" s="71">
        <f>M34+F63+K63+S38</f>
        <v>1075329</v>
      </c>
      <c r="N66" s="215" t="s">
        <v>700</v>
      </c>
    </row>
    <row r="70" spans="3:14">
      <c r="C70" t="s">
        <v>2696</v>
      </c>
      <c r="E70" t="s">
        <v>2697</v>
      </c>
    </row>
    <row r="71" spans="3:14">
      <c r="E71" t="s">
        <v>2698</v>
      </c>
    </row>
    <row r="72" spans="3:14">
      <c r="E72" t="s">
        <v>2699</v>
      </c>
    </row>
    <row r="73" spans="3:14">
      <c r="E73" t="s">
        <v>2700</v>
      </c>
    </row>
  </sheetData>
  <phoneticPr fontId="5" type="noConversion"/>
  <pageMargins left="0.7" right="0.7" top="0.75" bottom="0.75" header="0.3" footer="0.3"/>
  <drawing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D00-000000000000}">
  <dimension ref="A2:AC23"/>
  <sheetViews>
    <sheetView topLeftCell="N1" workbookViewId="0">
      <selection activeCell="F15" sqref="F15"/>
    </sheetView>
  </sheetViews>
  <sheetFormatPr defaultRowHeight="16.5"/>
  <cols>
    <col min="6" max="6" width="23.625" customWidth="1"/>
  </cols>
  <sheetData>
    <row r="2" spans="1:29">
      <c r="S2">
        <v>5</v>
      </c>
    </row>
    <row r="3" spans="1:29">
      <c r="B3" t="s">
        <v>923</v>
      </c>
      <c r="F3" t="s">
        <v>924</v>
      </c>
      <c r="G3" s="151">
        <v>25000</v>
      </c>
      <c r="L3" s="151" t="s">
        <v>929</v>
      </c>
      <c r="M3" t="s">
        <v>930</v>
      </c>
      <c r="O3" s="243" t="s">
        <v>933</v>
      </c>
      <c r="R3" s="529" t="s">
        <v>934</v>
      </c>
      <c r="S3" s="529"/>
      <c r="T3" s="529"/>
      <c r="U3" t="s">
        <v>935</v>
      </c>
      <c r="V3">
        <v>64</v>
      </c>
    </row>
    <row r="4" spans="1:29">
      <c r="Q4" s="208"/>
      <c r="R4" s="208"/>
      <c r="S4" s="208"/>
      <c r="T4" s="208"/>
      <c r="U4" s="208"/>
    </row>
    <row r="5" spans="1:29">
      <c r="B5" s="228"/>
      <c r="C5" s="546" t="s">
        <v>938</v>
      </c>
      <c r="D5" s="546"/>
      <c r="E5" s="546"/>
      <c r="F5" s="546"/>
      <c r="L5" s="207"/>
      <c r="R5" t="s">
        <v>940</v>
      </c>
      <c r="W5" s="223" t="s">
        <v>880</v>
      </c>
    </row>
    <row r="6" spans="1:29">
      <c r="B6" s="540" t="s">
        <v>928</v>
      </c>
      <c r="C6" s="540"/>
      <c r="D6" s="540"/>
      <c r="E6" s="540"/>
      <c r="F6" s="540"/>
      <c r="G6" s="540"/>
      <c r="H6" s="540"/>
      <c r="I6" s="540"/>
      <c r="J6" s="540"/>
      <c r="L6" s="207"/>
      <c r="O6" s="242"/>
      <c r="W6" s="244"/>
    </row>
    <row r="7" spans="1:29">
      <c r="B7">
        <v>1</v>
      </c>
      <c r="C7">
        <v>2</v>
      </c>
      <c r="G7">
        <v>100</v>
      </c>
      <c r="I7" t="s">
        <v>878</v>
      </c>
      <c r="L7" s="207"/>
      <c r="O7" s="242">
        <v>1</v>
      </c>
      <c r="W7" s="244"/>
      <c r="X7">
        <v>1</v>
      </c>
    </row>
    <row r="8" spans="1:29">
      <c r="B8" t="s">
        <v>873</v>
      </c>
      <c r="C8" t="s">
        <v>874</v>
      </c>
      <c r="D8" t="s">
        <v>874</v>
      </c>
      <c r="I8" t="s">
        <v>875</v>
      </c>
      <c r="L8" s="207"/>
      <c r="O8" s="242"/>
      <c r="S8" s="122" t="s">
        <v>944</v>
      </c>
      <c r="W8" s="244"/>
    </row>
    <row r="9" spans="1:29">
      <c r="A9" t="s">
        <v>925</v>
      </c>
      <c r="B9" s="133">
        <v>0</v>
      </c>
      <c r="C9" s="133">
        <v>0</v>
      </c>
      <c r="D9" s="133">
        <v>0</v>
      </c>
      <c r="E9" s="133"/>
      <c r="F9" s="133"/>
      <c r="G9" s="133"/>
      <c r="I9" s="186">
        <v>0</v>
      </c>
      <c r="J9" t="s">
        <v>931</v>
      </c>
      <c r="L9" s="207"/>
      <c r="M9">
        <v>100</v>
      </c>
      <c r="O9" s="242"/>
      <c r="Q9" s="245" t="s">
        <v>943</v>
      </c>
      <c r="W9" s="244"/>
    </row>
    <row r="10" spans="1:29">
      <c r="A10" t="s">
        <v>926</v>
      </c>
      <c r="B10" s="133"/>
      <c r="C10" s="133"/>
      <c r="D10" s="133"/>
      <c r="E10" s="133"/>
      <c r="F10" s="133"/>
      <c r="G10" s="133"/>
      <c r="I10" s="186">
        <v>1</v>
      </c>
      <c r="J10" t="s">
        <v>932</v>
      </c>
      <c r="L10" s="207"/>
      <c r="O10" s="242"/>
      <c r="W10" s="244"/>
    </row>
    <row r="11" spans="1:29">
      <c r="B11" s="133"/>
      <c r="C11" s="133"/>
      <c r="D11" s="133"/>
      <c r="E11" s="133"/>
      <c r="F11" s="133"/>
      <c r="G11" s="133"/>
      <c r="I11" s="186"/>
      <c r="L11" s="207"/>
      <c r="O11" s="242"/>
      <c r="W11" s="244"/>
      <c r="AC11" s="117"/>
    </row>
    <row r="12" spans="1:29">
      <c r="B12" s="133"/>
      <c r="C12" s="133"/>
      <c r="D12" s="133"/>
      <c r="E12" s="133"/>
      <c r="F12" s="133"/>
      <c r="G12" s="133"/>
      <c r="I12" s="186"/>
      <c r="L12" s="207"/>
      <c r="O12" s="242">
        <v>64</v>
      </c>
      <c r="W12" s="244"/>
      <c r="AC12" s="117"/>
    </row>
    <row r="13" spans="1:29">
      <c r="A13" t="s">
        <v>927</v>
      </c>
      <c r="B13" s="133"/>
      <c r="C13" s="133"/>
      <c r="D13" s="133"/>
      <c r="E13" s="133"/>
      <c r="F13" s="133"/>
      <c r="G13" s="133"/>
      <c r="I13" s="186"/>
      <c r="L13" s="207"/>
      <c r="O13" s="242"/>
      <c r="W13" s="244"/>
      <c r="X13">
        <v>55</v>
      </c>
    </row>
    <row r="14" spans="1:29">
      <c r="L14" s="207"/>
      <c r="O14" s="242"/>
      <c r="W14" s="244"/>
      <c r="AC14">
        <f>55+1</f>
        <v>56</v>
      </c>
    </row>
    <row r="15" spans="1:29">
      <c r="L15" s="207"/>
    </row>
    <row r="16" spans="1:29">
      <c r="P16" t="s">
        <v>936</v>
      </c>
      <c r="Q16" t="s">
        <v>937</v>
      </c>
      <c r="V16" t="s">
        <v>910</v>
      </c>
    </row>
    <row r="17" spans="3:27">
      <c r="L17">
        <f>5000*100</f>
        <v>500000</v>
      </c>
      <c r="O17">
        <f>M9*S2*V3</f>
        <v>32000</v>
      </c>
      <c r="Q17">
        <v>64</v>
      </c>
    </row>
    <row r="18" spans="3:27">
      <c r="V18">
        <f>64*4*55</f>
        <v>14080</v>
      </c>
      <c r="X18">
        <f>4*55*55</f>
        <v>12100</v>
      </c>
      <c r="Z18">
        <f>55*4</f>
        <v>220</v>
      </c>
    </row>
    <row r="19" spans="3:27">
      <c r="Q19">
        <f>O17+Q17</f>
        <v>32064</v>
      </c>
      <c r="W19">
        <f>V18+X18+Z18</f>
        <v>26400</v>
      </c>
    </row>
    <row r="21" spans="3:27">
      <c r="C21" t="s">
        <v>939</v>
      </c>
      <c r="Y21" t="s">
        <v>942</v>
      </c>
      <c r="AA21" s="127">
        <f>L17+Q19+W19+AC14</f>
        <v>558520</v>
      </c>
    </row>
    <row r="23" spans="3:27">
      <c r="F23" t="s">
        <v>941</v>
      </c>
    </row>
  </sheetData>
  <mergeCells count="3">
    <mergeCell ref="B6:J6"/>
    <mergeCell ref="R3:T3"/>
    <mergeCell ref="C5:F5"/>
  </mergeCells>
  <phoneticPr fontId="5" type="noConversion"/>
  <pageMargins left="0.7" right="0.7" top="0.75" bottom="0.75" header="0.3" footer="0.3"/>
  <pageSetup paperSize="9"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E00-000000000000}">
  <dimension ref="A2:AA21"/>
  <sheetViews>
    <sheetView workbookViewId="0">
      <selection activeCell="C14" sqref="C14"/>
    </sheetView>
  </sheetViews>
  <sheetFormatPr defaultRowHeight="16.5"/>
  <cols>
    <col min="1" max="1" width="18.375" customWidth="1"/>
    <col min="6" max="6" width="23.625" customWidth="1"/>
    <col min="13" max="13" width="14.625" customWidth="1"/>
  </cols>
  <sheetData>
    <row r="2" spans="1:23">
      <c r="Q2" t="s">
        <v>1804</v>
      </c>
    </row>
    <row r="3" spans="1:23">
      <c r="B3" t="s">
        <v>923</v>
      </c>
      <c r="F3" t="s">
        <v>924</v>
      </c>
      <c r="G3" s="151">
        <v>25000</v>
      </c>
      <c r="L3" s="151" t="s">
        <v>929</v>
      </c>
      <c r="M3" t="s">
        <v>1802</v>
      </c>
      <c r="O3" s="243" t="s">
        <v>880</v>
      </c>
      <c r="R3" s="541"/>
      <c r="S3" s="541"/>
      <c r="T3" s="541"/>
      <c r="U3" s="12"/>
    </row>
    <row r="4" spans="1:23">
      <c r="Q4" t="s">
        <v>1805</v>
      </c>
      <c r="R4" s="12"/>
      <c r="S4" s="12"/>
      <c r="T4" s="12"/>
      <c r="U4" s="12"/>
    </row>
    <row r="5" spans="1:23">
      <c r="B5" s="228"/>
      <c r="C5" s="546" t="s">
        <v>938</v>
      </c>
      <c r="D5" s="546"/>
      <c r="E5" s="546"/>
      <c r="F5" s="546"/>
      <c r="L5" s="207"/>
      <c r="W5" s="340"/>
    </row>
    <row r="6" spans="1:23">
      <c r="B6" s="540" t="s">
        <v>1800</v>
      </c>
      <c r="C6" s="540"/>
      <c r="D6" s="540"/>
      <c r="E6" s="540"/>
      <c r="F6" s="540"/>
      <c r="G6" s="540"/>
      <c r="H6" s="540"/>
      <c r="I6" s="540"/>
      <c r="J6" s="540"/>
      <c r="L6" s="207"/>
      <c r="O6" s="242"/>
      <c r="W6" s="119"/>
    </row>
    <row r="7" spans="1:23">
      <c r="B7">
        <v>1</v>
      </c>
      <c r="C7">
        <v>2</v>
      </c>
      <c r="G7">
        <v>16</v>
      </c>
      <c r="L7" s="207"/>
      <c r="O7" s="242">
        <v>1</v>
      </c>
      <c r="W7" s="119"/>
    </row>
    <row r="8" spans="1:23">
      <c r="B8" t="s">
        <v>873</v>
      </c>
      <c r="C8" t="s">
        <v>874</v>
      </c>
      <c r="D8" t="s">
        <v>874</v>
      </c>
      <c r="L8" s="207"/>
      <c r="O8" s="242"/>
      <c r="S8" s="122"/>
      <c r="W8" s="119"/>
    </row>
    <row r="9" spans="1:23">
      <c r="A9" t="s">
        <v>925</v>
      </c>
      <c r="B9" s="133">
        <v>0</v>
      </c>
      <c r="C9" s="133">
        <v>0</v>
      </c>
      <c r="D9" s="133">
        <v>0</v>
      </c>
      <c r="E9" s="133"/>
      <c r="F9" s="133"/>
      <c r="G9" s="133"/>
      <c r="I9" s="186">
        <v>0</v>
      </c>
      <c r="J9" t="s">
        <v>931</v>
      </c>
      <c r="L9" s="207"/>
      <c r="O9" s="242"/>
      <c r="Q9" s="245"/>
      <c r="W9" s="119"/>
    </row>
    <row r="10" spans="1:23">
      <c r="A10" t="s">
        <v>926</v>
      </c>
      <c r="B10" s="133"/>
      <c r="C10" s="133"/>
      <c r="D10" s="133"/>
      <c r="E10" s="133"/>
      <c r="F10" s="133"/>
      <c r="G10" s="133"/>
      <c r="I10" s="186">
        <v>1</v>
      </c>
      <c r="J10" t="s">
        <v>932</v>
      </c>
      <c r="L10" s="207"/>
      <c r="O10" s="242"/>
      <c r="Q10" s="343" t="s">
        <v>1812</v>
      </c>
      <c r="W10" s="119"/>
    </row>
    <row r="11" spans="1:23">
      <c r="B11" s="133"/>
      <c r="C11" s="133"/>
      <c r="D11" s="133"/>
      <c r="E11" s="133"/>
      <c r="F11" s="133"/>
      <c r="G11" s="133"/>
      <c r="I11" s="186"/>
      <c r="L11" s="207"/>
      <c r="O11" s="242"/>
      <c r="W11" s="119"/>
    </row>
    <row r="12" spans="1:23">
      <c r="B12" s="133"/>
      <c r="C12" s="133"/>
      <c r="D12" s="133"/>
      <c r="E12" s="133"/>
      <c r="F12" s="133"/>
      <c r="G12" s="133"/>
      <c r="I12" s="186"/>
      <c r="L12" s="207"/>
      <c r="O12" s="242">
        <v>8</v>
      </c>
      <c r="W12" s="119"/>
    </row>
    <row r="13" spans="1:23">
      <c r="A13" t="s">
        <v>1801</v>
      </c>
      <c r="B13" s="133"/>
      <c r="C13" s="133"/>
      <c r="D13" s="133"/>
      <c r="E13" s="133"/>
      <c r="F13" s="133"/>
      <c r="G13" s="133"/>
      <c r="I13" s="186"/>
      <c r="L13" s="207"/>
      <c r="O13" s="242"/>
      <c r="W13" s="119"/>
    </row>
    <row r="14" spans="1:23">
      <c r="L14" s="207"/>
      <c r="O14" s="242"/>
      <c r="W14" s="119"/>
    </row>
    <row r="15" spans="1:23">
      <c r="L15" s="207"/>
      <c r="M15" t="s">
        <v>1803</v>
      </c>
      <c r="N15" t="s">
        <v>1806</v>
      </c>
    </row>
    <row r="16" spans="1:23">
      <c r="M16" t="s">
        <v>1807</v>
      </c>
      <c r="N16" t="s">
        <v>1808</v>
      </c>
    </row>
    <row r="17" spans="12:27">
      <c r="L17">
        <f>500*16</f>
        <v>8000</v>
      </c>
      <c r="M17" t="s">
        <v>1809</v>
      </c>
      <c r="N17" t="s">
        <v>1810</v>
      </c>
    </row>
    <row r="18" spans="12:27">
      <c r="M18" t="s">
        <v>1803</v>
      </c>
      <c r="N18">
        <f>16*8*4</f>
        <v>512</v>
      </c>
      <c r="P18">
        <f>8*1+1</f>
        <v>9</v>
      </c>
      <c r="R18" t="s">
        <v>1813</v>
      </c>
    </row>
    <row r="19" spans="12:27">
      <c r="M19" t="s">
        <v>1807</v>
      </c>
      <c r="N19">
        <f>8*8*4</f>
        <v>256</v>
      </c>
      <c r="R19">
        <f>L17+N18+N19+N20+P18</f>
        <v>8809</v>
      </c>
    </row>
    <row r="20" spans="12:27">
      <c r="M20" t="s">
        <v>1811</v>
      </c>
      <c r="N20">
        <f>8*4</f>
        <v>32</v>
      </c>
    </row>
    <row r="21" spans="12:27">
      <c r="AA21" s="127"/>
    </row>
  </sheetData>
  <mergeCells count="3">
    <mergeCell ref="R3:T3"/>
    <mergeCell ref="C5:F5"/>
    <mergeCell ref="B6:J6"/>
  </mergeCells>
  <phoneticPr fontId="5" type="noConversion"/>
  <pageMargins left="0.7" right="0.7" top="0.75" bottom="0.75" header="0.3" footer="0.3"/>
  <pageSetup paperSize="9"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F00-000000000000}">
  <dimension ref="C2"/>
  <sheetViews>
    <sheetView showGridLines="0" workbookViewId="0">
      <selection activeCell="A5" sqref="A5"/>
    </sheetView>
  </sheetViews>
  <sheetFormatPr defaultRowHeight="16.5"/>
  <sheetData>
    <row r="2" spans="3:3" ht="20.25">
      <c r="C2" s="464" t="s">
        <v>2701</v>
      </c>
    </row>
  </sheetData>
  <phoneticPr fontId="5" type="noConversion"/>
  <pageMargins left="0.7" right="0.7" top="0.75" bottom="0.75" header="0.3" footer="0.3"/>
  <drawing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000-000000000000}">
  <dimension ref="A2:E31"/>
  <sheetViews>
    <sheetView topLeftCell="A28" zoomScale="190" zoomScaleNormal="190" workbookViewId="0">
      <selection activeCell="B18" sqref="B18"/>
    </sheetView>
  </sheetViews>
  <sheetFormatPr defaultRowHeight="16.5"/>
  <sheetData>
    <row r="2" spans="1:5">
      <c r="A2" t="s">
        <v>851</v>
      </c>
      <c r="C2" t="s">
        <v>852</v>
      </c>
    </row>
    <row r="5" spans="1:5">
      <c r="A5" t="s">
        <v>853</v>
      </c>
    </row>
    <row r="6" spans="1:5">
      <c r="A6" t="s">
        <v>854</v>
      </c>
    </row>
    <row r="7" spans="1:5">
      <c r="A7" t="s">
        <v>855</v>
      </c>
    </row>
    <row r="8" spans="1:5">
      <c r="A8" t="s">
        <v>856</v>
      </c>
    </row>
    <row r="9" spans="1:5">
      <c r="A9" t="s">
        <v>857</v>
      </c>
    </row>
    <row r="10" spans="1:5" ht="17.25" thickBot="1"/>
    <row r="11" spans="1:5" ht="33.75" thickBot="1">
      <c r="A11" s="238" t="s">
        <v>858</v>
      </c>
      <c r="B11" s="237">
        <v>8.6</v>
      </c>
    </row>
    <row r="14" spans="1:5">
      <c r="B14" t="s">
        <v>859</v>
      </c>
      <c r="C14">
        <v>11.2</v>
      </c>
      <c r="E14" t="s">
        <v>861</v>
      </c>
    </row>
    <row r="15" spans="1:5">
      <c r="B15" t="s">
        <v>860</v>
      </c>
      <c r="C15">
        <v>11.2</v>
      </c>
    </row>
    <row r="18" spans="2:2">
      <c r="B18" t="s">
        <v>862</v>
      </c>
    </row>
    <row r="20" spans="2:2">
      <c r="B20" t="s">
        <v>863</v>
      </c>
    </row>
    <row r="22" spans="2:2">
      <c r="B22" t="s">
        <v>864</v>
      </c>
    </row>
    <row r="24" spans="2:2">
      <c r="B24" t="s">
        <v>865</v>
      </c>
    </row>
    <row r="26" spans="2:2">
      <c r="B26" t="s">
        <v>866</v>
      </c>
    </row>
    <row r="29" spans="2:2">
      <c r="B29" t="s">
        <v>868</v>
      </c>
    </row>
    <row r="30" spans="2:2">
      <c r="B30" t="s">
        <v>869</v>
      </c>
    </row>
    <row r="31" spans="2:2">
      <c r="B31" t="s">
        <v>867</v>
      </c>
    </row>
  </sheetData>
  <phoneticPr fontId="5" type="noConversion"/>
  <hyperlinks>
    <hyperlink ref="A11" r:id="rId1" display="https://www.nvidia.com/en-us/geforce/graphics-cards/30-series/rtx-3060-3060ti/" xr:uid="{00000000-0004-0000-4000-000000000000}"/>
  </hyperlinks>
  <pageMargins left="0.7" right="0.7" top="0.75" bottom="0.75" header="0.3" footer="0.3"/>
  <pageSetup paperSize="9" orientation="portrait"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100-000000000000}">
  <dimension ref="B1:BY27"/>
  <sheetViews>
    <sheetView showGridLines="0" topLeftCell="H1" zoomScale="40" zoomScaleNormal="40" workbookViewId="0">
      <selection activeCell="U16" sqref="U16"/>
    </sheetView>
  </sheetViews>
  <sheetFormatPr defaultRowHeight="16.5"/>
  <cols>
    <col min="1" max="1" width="12.25" style="246" customWidth="1"/>
    <col min="2" max="2" width="6.5" style="246" customWidth="1"/>
    <col min="3" max="6" width="9" style="246"/>
    <col min="7" max="7" width="5.375" style="246" customWidth="1"/>
    <col min="8" max="11" width="9" style="246"/>
    <col min="12" max="14" width="4.5" style="246" customWidth="1"/>
    <col min="15" max="22" width="9" style="246"/>
    <col min="23" max="23" width="4.5" style="246" customWidth="1"/>
    <col min="24" max="24" width="5.125" style="246" customWidth="1"/>
    <col min="25" max="26" width="5.375" style="246" customWidth="1"/>
    <col min="27" max="27" width="9" style="246"/>
    <col min="28" max="32" width="5.75" style="246" customWidth="1"/>
    <col min="33" max="41" width="5.125" style="246" customWidth="1"/>
    <col min="42" max="42" width="9" style="246"/>
    <col min="43" max="47" width="6.875" style="246" customWidth="1"/>
    <col min="48" max="16384" width="9" style="246"/>
  </cols>
  <sheetData>
    <row r="1" spans="2:77">
      <c r="BN1" s="246" t="s">
        <v>962</v>
      </c>
    </row>
    <row r="2" spans="2:77">
      <c r="J2" s="246" t="s">
        <v>945</v>
      </c>
      <c r="L2" s="247"/>
      <c r="M2" s="247"/>
      <c r="N2" s="247"/>
      <c r="P2" s="248"/>
      <c r="Q2" s="550">
        <v>28</v>
      </c>
      <c r="R2" s="550"/>
      <c r="S2" s="550"/>
      <c r="T2" s="550"/>
      <c r="U2" s="248"/>
      <c r="W2" s="547" t="s">
        <v>949</v>
      </c>
      <c r="X2" s="547"/>
      <c r="Y2" s="547"/>
      <c r="Z2" s="547"/>
      <c r="AB2" s="246" t="s">
        <v>945</v>
      </c>
      <c r="AD2" s="247"/>
      <c r="AE2" s="247"/>
      <c r="AF2" s="247"/>
      <c r="AL2" s="547" t="s">
        <v>949</v>
      </c>
      <c r="AM2" s="547"/>
      <c r="AN2" s="547"/>
      <c r="AO2" s="547"/>
      <c r="AQ2" s="246" t="s">
        <v>945</v>
      </c>
      <c r="AS2" s="247"/>
      <c r="AT2" s="247"/>
      <c r="AU2" s="247"/>
      <c r="BM2" s="122" t="s">
        <v>963</v>
      </c>
    </row>
    <row r="3" spans="2:77">
      <c r="B3" s="248"/>
      <c r="C3" s="550">
        <v>28</v>
      </c>
      <c r="D3" s="550"/>
      <c r="E3" s="550"/>
      <c r="F3" s="550"/>
      <c r="G3" s="248"/>
      <c r="J3" s="249"/>
      <c r="L3" s="247"/>
      <c r="M3" s="247"/>
      <c r="N3" s="247"/>
      <c r="P3" s="550">
        <v>28</v>
      </c>
      <c r="Q3" s="250"/>
      <c r="R3" s="250"/>
      <c r="S3" s="250"/>
      <c r="T3" s="250"/>
      <c r="U3" s="248"/>
      <c r="X3" s="547">
        <v>14</v>
      </c>
      <c r="Y3" s="547"/>
      <c r="AB3" s="249"/>
      <c r="AD3" s="247"/>
      <c r="AE3" s="247"/>
      <c r="AF3" s="247"/>
      <c r="AM3" s="547">
        <v>7</v>
      </c>
      <c r="AN3" s="547"/>
      <c r="AQ3" s="249"/>
      <c r="AS3" s="247"/>
      <c r="AT3" s="247"/>
      <c r="AU3" s="247"/>
      <c r="BM3" s="256"/>
      <c r="BP3" s="256"/>
      <c r="BT3" s="547">
        <v>28</v>
      </c>
      <c r="BU3" s="547"/>
    </row>
    <row r="4" spans="2:77">
      <c r="B4" s="550">
        <v>28</v>
      </c>
      <c r="C4" s="250"/>
      <c r="D4" s="250"/>
      <c r="E4" s="250"/>
      <c r="F4" s="250"/>
      <c r="G4" s="248"/>
      <c r="J4" s="249"/>
      <c r="L4" s="247"/>
      <c r="M4" s="247"/>
      <c r="N4" s="247"/>
      <c r="P4" s="550"/>
      <c r="Q4" s="250"/>
      <c r="R4" s="250"/>
      <c r="S4" s="250"/>
      <c r="T4" s="250"/>
      <c r="U4" s="248"/>
      <c r="W4" s="250"/>
      <c r="X4" s="250"/>
      <c r="Y4" s="250"/>
      <c r="Z4" s="250"/>
      <c r="AB4" s="249"/>
      <c r="AD4" s="247"/>
      <c r="AE4" s="247"/>
      <c r="AF4" s="247"/>
      <c r="AL4" s="250"/>
      <c r="AM4" s="250"/>
      <c r="AN4" s="250"/>
      <c r="AO4" s="250"/>
      <c r="AQ4" s="249"/>
      <c r="AS4" s="247"/>
      <c r="AT4" s="247"/>
      <c r="AU4" s="247"/>
      <c r="BM4" s="258"/>
      <c r="BN4" s="258"/>
      <c r="BO4" s="258"/>
      <c r="BP4" s="258"/>
      <c r="BQ4" s="246" t="s">
        <v>945</v>
      </c>
      <c r="BS4" s="250"/>
      <c r="BT4" s="250"/>
      <c r="BU4" s="250"/>
      <c r="BV4" s="250"/>
    </row>
    <row r="5" spans="2:77">
      <c r="B5" s="550"/>
      <c r="C5" s="250"/>
      <c r="D5" s="250"/>
      <c r="E5" s="250"/>
      <c r="F5" s="250"/>
      <c r="G5" s="248"/>
      <c r="J5" s="249"/>
      <c r="K5" s="246" t="s">
        <v>947</v>
      </c>
      <c r="P5" s="550"/>
      <c r="Q5" s="250"/>
      <c r="R5" s="250"/>
      <c r="S5" s="250"/>
      <c r="T5" s="250"/>
      <c r="U5" s="248"/>
      <c r="W5" s="250"/>
      <c r="X5" s="250"/>
      <c r="Y5" s="250"/>
      <c r="Z5" s="250"/>
      <c r="AB5" s="249"/>
      <c r="AC5" s="246" t="s">
        <v>954</v>
      </c>
      <c r="AL5" s="250"/>
      <c r="AM5" s="250"/>
      <c r="AN5" s="250"/>
      <c r="AO5" s="250"/>
      <c r="AQ5" s="249"/>
      <c r="AR5" s="246" t="s">
        <v>954</v>
      </c>
      <c r="BM5" s="258"/>
      <c r="BN5" s="548">
        <v>14</v>
      </c>
      <c r="BO5" s="548"/>
      <c r="BP5" s="258"/>
      <c r="BQ5" s="249"/>
      <c r="BS5" s="250"/>
      <c r="BT5" s="250"/>
      <c r="BU5" s="250"/>
      <c r="BV5" s="250"/>
      <c r="BX5" s="246" t="s">
        <v>945</v>
      </c>
    </row>
    <row r="6" spans="2:77">
      <c r="B6" s="550"/>
      <c r="C6" s="250"/>
      <c r="D6" s="251"/>
      <c r="E6" s="251"/>
      <c r="F6" s="250"/>
      <c r="G6" s="248"/>
      <c r="J6" s="249"/>
      <c r="K6" s="246" t="s">
        <v>948</v>
      </c>
      <c r="P6" s="550"/>
      <c r="Q6" s="250"/>
      <c r="R6" s="250"/>
      <c r="S6" s="250"/>
      <c r="T6" s="250"/>
      <c r="U6" s="248"/>
      <c r="W6" s="250"/>
      <c r="X6" s="250"/>
      <c r="Y6" s="250"/>
      <c r="Z6" s="250"/>
      <c r="AB6" s="249"/>
      <c r="AC6" s="246" t="s">
        <v>955</v>
      </c>
      <c r="AL6" s="250"/>
      <c r="AM6" s="250"/>
      <c r="AN6" s="250"/>
      <c r="AO6" s="250"/>
      <c r="AQ6" s="249"/>
      <c r="AR6" s="246" t="s">
        <v>955</v>
      </c>
      <c r="BM6" s="259"/>
      <c r="BN6" s="257"/>
      <c r="BO6" s="257"/>
      <c r="BP6" s="259"/>
      <c r="BQ6" s="249"/>
      <c r="BS6" s="250"/>
      <c r="BT6" s="250"/>
      <c r="BU6" s="250"/>
      <c r="BV6" s="250"/>
      <c r="BX6" s="249"/>
    </row>
    <row r="7" spans="2:77">
      <c r="B7" s="550"/>
      <c r="C7" s="251"/>
      <c r="D7" s="250"/>
      <c r="E7" s="250"/>
      <c r="F7" s="250"/>
      <c r="G7" s="248"/>
      <c r="J7" s="249"/>
      <c r="L7" s="246">
        <f>16*9+16</f>
        <v>160</v>
      </c>
      <c r="P7" s="550"/>
      <c r="Q7" s="250"/>
      <c r="R7" s="250"/>
      <c r="S7" s="250"/>
      <c r="T7" s="250"/>
      <c r="U7" s="248"/>
      <c r="V7" s="246">
        <v>14</v>
      </c>
      <c r="W7" s="250"/>
      <c r="X7" s="250"/>
      <c r="Y7" s="250"/>
      <c r="Z7" s="250"/>
      <c r="AB7" s="249"/>
      <c r="AD7" s="246">
        <f>8*9+8</f>
        <v>80</v>
      </c>
      <c r="AK7" s="246">
        <v>7</v>
      </c>
      <c r="AL7" s="250"/>
      <c r="AM7" s="250"/>
      <c r="AN7" s="250"/>
      <c r="AO7" s="250"/>
      <c r="AQ7" s="249"/>
      <c r="AS7" s="246">
        <f>8*9+8</f>
        <v>80</v>
      </c>
      <c r="BL7" s="547"/>
      <c r="BM7" s="549">
        <v>14</v>
      </c>
      <c r="BN7" s="257"/>
      <c r="BO7" s="257"/>
      <c r="BP7" s="259"/>
      <c r="BQ7" s="249"/>
      <c r="BS7" s="250"/>
      <c r="BT7" s="250"/>
      <c r="BU7" s="250"/>
      <c r="BV7" s="250"/>
      <c r="BX7" s="249"/>
    </row>
    <row r="8" spans="2:77">
      <c r="B8" s="550"/>
      <c r="C8" s="251"/>
      <c r="D8" s="250"/>
      <c r="E8" s="250"/>
      <c r="F8" s="250"/>
      <c r="G8" s="248"/>
      <c r="J8" s="249"/>
      <c r="P8" s="550"/>
      <c r="Q8" s="250"/>
      <c r="R8" s="250"/>
      <c r="S8" s="250"/>
      <c r="T8" s="250"/>
      <c r="U8" s="248"/>
      <c r="W8" s="250"/>
      <c r="X8" s="250"/>
      <c r="Y8" s="250"/>
      <c r="Z8" s="250"/>
      <c r="AB8" s="249"/>
      <c r="AL8" s="250"/>
      <c r="AM8" s="250"/>
      <c r="AN8" s="250"/>
      <c r="AO8" s="250"/>
      <c r="AQ8" s="249"/>
      <c r="BL8" s="547"/>
      <c r="BM8" s="549"/>
      <c r="BN8" s="257"/>
      <c r="BO8" s="257"/>
      <c r="BP8" s="259"/>
      <c r="BQ8" s="249"/>
      <c r="BR8" s="246">
        <v>28</v>
      </c>
      <c r="BS8" s="250"/>
      <c r="BT8" s="250"/>
      <c r="BU8" s="250"/>
      <c r="BV8" s="250"/>
      <c r="BX8" s="249"/>
    </row>
    <row r="9" spans="2:77">
      <c r="B9" s="550"/>
      <c r="C9" s="251"/>
      <c r="D9" s="250"/>
      <c r="E9" s="250"/>
      <c r="F9" s="250"/>
      <c r="G9" s="248"/>
      <c r="J9" s="249"/>
      <c r="P9" s="550"/>
      <c r="Q9" s="250"/>
      <c r="R9" s="250"/>
      <c r="S9" s="250"/>
      <c r="T9" s="250"/>
      <c r="U9" s="248"/>
      <c r="W9" s="250"/>
      <c r="X9" s="250"/>
      <c r="Y9" s="250"/>
      <c r="Z9" s="250"/>
      <c r="AB9" s="249"/>
      <c r="AL9" s="250"/>
      <c r="AM9" s="250"/>
      <c r="AN9" s="250"/>
      <c r="AO9" s="250"/>
      <c r="AQ9" s="249"/>
      <c r="BL9" s="547"/>
      <c r="BM9" s="549"/>
      <c r="BN9" s="257"/>
      <c r="BO9" s="257"/>
      <c r="BP9" s="259"/>
      <c r="BQ9" s="249"/>
      <c r="BS9" s="250"/>
      <c r="BT9" s="250"/>
      <c r="BU9" s="250"/>
      <c r="BV9" s="250"/>
      <c r="BX9" s="259"/>
      <c r="BY9" s="252" t="s">
        <v>968</v>
      </c>
    </row>
    <row r="10" spans="2:77">
      <c r="B10" s="550"/>
      <c r="C10" s="250"/>
      <c r="D10" s="251"/>
      <c r="E10" s="251"/>
      <c r="F10" s="250"/>
      <c r="G10" s="248"/>
      <c r="J10" s="249"/>
      <c r="P10" s="550"/>
      <c r="Q10" s="250"/>
      <c r="R10" s="250"/>
      <c r="S10" s="250"/>
      <c r="T10" s="250"/>
      <c r="U10" s="248"/>
      <c r="W10" s="250"/>
      <c r="X10" s="250"/>
      <c r="Y10" s="250"/>
      <c r="Z10" s="250"/>
      <c r="AB10" s="249"/>
      <c r="AC10" s="252" t="s">
        <v>957</v>
      </c>
      <c r="AD10" s="252" t="s">
        <v>956</v>
      </c>
      <c r="AE10" s="252"/>
      <c r="AF10" s="252"/>
      <c r="AG10" s="252" t="s">
        <v>958</v>
      </c>
      <c r="AH10" s="252"/>
      <c r="AI10" s="254" t="s">
        <v>959</v>
      </c>
      <c r="AL10" s="250"/>
      <c r="AM10" s="250"/>
      <c r="AN10" s="250"/>
      <c r="AO10" s="250"/>
      <c r="AQ10" s="249"/>
      <c r="AR10" s="252" t="s">
        <v>957</v>
      </c>
      <c r="AS10" s="252" t="s">
        <v>956</v>
      </c>
      <c r="AT10" s="252"/>
      <c r="AU10" s="252"/>
      <c r="AV10" s="252" t="s">
        <v>958</v>
      </c>
      <c r="AW10" s="252"/>
      <c r="AX10" s="254" t="s">
        <v>959</v>
      </c>
      <c r="BL10" s="547"/>
      <c r="BM10" s="549"/>
      <c r="BN10" s="257"/>
      <c r="BO10" s="257"/>
      <c r="BP10" s="259"/>
      <c r="BQ10" s="249"/>
      <c r="BS10" s="250"/>
      <c r="BT10" s="250"/>
      <c r="BU10" s="250"/>
      <c r="BV10" s="250"/>
      <c r="BX10" s="260">
        <v>1</v>
      </c>
    </row>
    <row r="11" spans="2:77">
      <c r="B11" s="550"/>
      <c r="C11" s="250"/>
      <c r="D11" s="250"/>
      <c r="E11" s="251"/>
      <c r="F11" s="250"/>
      <c r="G11" s="248"/>
      <c r="J11" s="249"/>
      <c r="P11" s="550"/>
      <c r="Q11" s="250"/>
      <c r="R11" s="250"/>
      <c r="S11" s="250"/>
      <c r="T11" s="250"/>
      <c r="U11" s="248"/>
      <c r="AB11" s="249"/>
      <c r="AQ11" s="249"/>
      <c r="BM11" s="259"/>
      <c r="BN11" s="257"/>
      <c r="BO11" s="257"/>
      <c r="BP11" s="259"/>
      <c r="BQ11" s="249"/>
      <c r="BS11" s="250"/>
      <c r="BT11" s="250"/>
      <c r="BU11" s="250"/>
      <c r="BV11" s="250"/>
      <c r="BX11" s="259"/>
    </row>
    <row r="12" spans="2:77">
      <c r="B12" s="550"/>
      <c r="C12" s="250"/>
      <c r="D12" s="250"/>
      <c r="E12" s="251"/>
      <c r="F12" s="250"/>
      <c r="G12" s="248"/>
      <c r="J12" s="249"/>
      <c r="P12" s="550"/>
      <c r="Q12" s="250"/>
      <c r="R12" s="250"/>
      <c r="S12" s="250"/>
      <c r="T12" s="250"/>
      <c r="U12" s="248"/>
      <c r="AB12" s="249"/>
      <c r="AC12" s="246">
        <v>16</v>
      </c>
      <c r="AD12" s="246">
        <v>3</v>
      </c>
      <c r="AE12" s="246">
        <v>3</v>
      </c>
      <c r="AG12" s="246">
        <v>8</v>
      </c>
      <c r="AI12" s="246">
        <v>8</v>
      </c>
      <c r="AQ12" s="249"/>
      <c r="AR12" s="246">
        <v>8</v>
      </c>
      <c r="AS12" s="246">
        <v>3</v>
      </c>
      <c r="AT12" s="246">
        <v>3</v>
      </c>
      <c r="AV12" s="246">
        <v>8</v>
      </c>
      <c r="AX12" s="246">
        <v>8</v>
      </c>
      <c r="BM12" s="259"/>
      <c r="BN12" s="259"/>
      <c r="BO12" s="259"/>
      <c r="BP12" s="259"/>
      <c r="BQ12" s="249"/>
      <c r="BS12" s="250"/>
      <c r="BT12" s="250"/>
      <c r="BU12" s="250"/>
      <c r="BV12" s="250"/>
      <c r="BX12" s="259"/>
    </row>
    <row r="13" spans="2:77">
      <c r="B13" s="550"/>
      <c r="C13" s="250"/>
      <c r="D13" s="251"/>
      <c r="E13" s="251"/>
      <c r="F13" s="250"/>
      <c r="G13" s="248"/>
      <c r="J13" s="249"/>
      <c r="P13" s="550"/>
      <c r="Q13" s="250"/>
      <c r="R13" s="250"/>
      <c r="S13" s="250"/>
      <c r="T13" s="250"/>
      <c r="U13" s="248"/>
      <c r="AB13" s="249"/>
      <c r="AQ13" s="249"/>
      <c r="BM13" s="259"/>
      <c r="BN13" s="259"/>
      <c r="BO13" s="259"/>
      <c r="BP13" s="259"/>
      <c r="BQ13" s="249"/>
      <c r="BS13" s="250"/>
      <c r="BT13" s="250"/>
      <c r="BU13" s="250"/>
      <c r="BV13" s="250"/>
      <c r="BX13" s="259"/>
    </row>
    <row r="14" spans="2:77">
      <c r="B14" s="550"/>
      <c r="C14" s="250"/>
      <c r="D14" s="251"/>
      <c r="E14" s="251"/>
      <c r="F14" s="250"/>
      <c r="G14" s="248"/>
      <c r="J14" s="246" t="s">
        <v>343</v>
      </c>
      <c r="P14" s="248"/>
      <c r="Q14" s="248"/>
      <c r="R14" s="248"/>
      <c r="S14" s="248"/>
      <c r="T14" s="248"/>
      <c r="U14" s="248"/>
      <c r="AB14" s="246" t="s">
        <v>953</v>
      </c>
      <c r="AD14" s="246">
        <f>AC12*AD12*AE12*AG12+AI12</f>
        <v>1160</v>
      </c>
      <c r="AQ14" s="246" t="s">
        <v>953</v>
      </c>
      <c r="AS14" s="246">
        <f>AR12*AS12*AT12*AV12+AX12</f>
        <v>584</v>
      </c>
      <c r="BM14" s="259"/>
      <c r="BN14" s="259"/>
      <c r="BO14" s="259"/>
      <c r="BP14" s="259"/>
      <c r="BQ14" s="249"/>
      <c r="BS14" s="246" t="s">
        <v>966</v>
      </c>
      <c r="BX14" s="259"/>
    </row>
    <row r="15" spans="2:77">
      <c r="B15" s="248"/>
      <c r="C15" s="248"/>
      <c r="D15" s="248"/>
      <c r="E15" s="248"/>
      <c r="F15" s="248"/>
      <c r="G15" s="248"/>
      <c r="BQ15" s="249"/>
      <c r="BX15" s="259"/>
    </row>
    <row r="16" spans="2:77">
      <c r="R16" s="246" t="s">
        <v>946</v>
      </c>
      <c r="X16" s="547" t="s">
        <v>951</v>
      </c>
      <c r="Y16" s="547"/>
      <c r="AM16" s="547" t="s">
        <v>960</v>
      </c>
      <c r="AN16" s="547"/>
      <c r="BA16" s="255" t="s">
        <v>964</v>
      </c>
      <c r="BQ16" s="252">
        <v>16</v>
      </c>
      <c r="BT16" s="246" t="s">
        <v>967</v>
      </c>
      <c r="BX16" s="259"/>
    </row>
    <row r="17" spans="10:75">
      <c r="BA17" s="255" t="s">
        <v>961</v>
      </c>
    </row>
    <row r="18" spans="10:75">
      <c r="BA18" s="255" t="s">
        <v>700</v>
      </c>
      <c r="BO18" s="246">
        <v>16</v>
      </c>
      <c r="BP18" s="246">
        <v>3</v>
      </c>
      <c r="BQ18" s="246">
        <v>3</v>
      </c>
      <c r="BS18" s="246">
        <v>8</v>
      </c>
      <c r="BU18" s="246">
        <v>16</v>
      </c>
    </row>
    <row r="19" spans="10:75" ht="26.25">
      <c r="W19" s="253" t="s">
        <v>950</v>
      </c>
    </row>
    <row r="20" spans="10:75">
      <c r="AA20" s="246" t="s">
        <v>952</v>
      </c>
      <c r="BR20" s="246">
        <f>BO18*BP18*BQ18*BS18+BU18</f>
        <v>1168</v>
      </c>
      <c r="BW20" s="246">
        <f>3*3*16*1+1</f>
        <v>145</v>
      </c>
    </row>
    <row r="25" spans="10:75">
      <c r="BS25" s="261" t="s">
        <v>969</v>
      </c>
      <c r="BT25" s="261"/>
      <c r="BU25" s="261">
        <f>L7+AD14+AS14+584+584+BR20+BW20</f>
        <v>4385</v>
      </c>
    </row>
    <row r="27" spans="10:75">
      <c r="J27" s="474"/>
      <c r="K27" s="475"/>
      <c r="L27" s="475"/>
      <c r="M27" s="475"/>
      <c r="N27" s="475"/>
      <c r="O27" s="475"/>
      <c r="P27" s="475"/>
      <c r="Q27" s="475"/>
      <c r="R27" s="475"/>
      <c r="S27" s="475"/>
      <c r="T27" s="475"/>
      <c r="U27" s="475"/>
      <c r="V27" s="475"/>
      <c r="W27" s="475"/>
      <c r="X27" s="475"/>
      <c r="Y27" s="475"/>
      <c r="Z27" s="475"/>
      <c r="AA27" s="475"/>
      <c r="AB27" s="475"/>
      <c r="AC27" s="475"/>
      <c r="AD27" s="475"/>
      <c r="AE27" s="475"/>
      <c r="AF27" s="475"/>
      <c r="AG27" s="475"/>
      <c r="AH27" s="475"/>
      <c r="AI27" s="475"/>
      <c r="AJ27" s="475"/>
      <c r="AK27" s="475"/>
      <c r="AL27" s="475"/>
      <c r="AM27" s="475"/>
      <c r="AN27" s="475"/>
      <c r="AO27" s="475"/>
      <c r="AP27" s="475"/>
      <c r="AQ27" s="475"/>
      <c r="AR27" s="475"/>
      <c r="AS27" s="475"/>
      <c r="AT27" s="475"/>
      <c r="AU27" s="475"/>
      <c r="AV27" s="475"/>
      <c r="AW27" s="256"/>
      <c r="AX27" s="256"/>
      <c r="AY27" s="256"/>
      <c r="AZ27" s="256"/>
      <c r="BA27" s="256"/>
      <c r="BB27" s="256"/>
      <c r="BC27" s="256"/>
      <c r="BD27" s="256"/>
      <c r="BE27" s="256"/>
      <c r="BF27" s="256"/>
      <c r="BG27" s="256"/>
      <c r="BH27" s="256"/>
      <c r="BI27" s="256"/>
      <c r="BJ27" s="256"/>
      <c r="BK27" s="256"/>
      <c r="BL27" s="256"/>
      <c r="BM27" s="256"/>
      <c r="BN27" s="256"/>
      <c r="BO27" s="256"/>
      <c r="BP27" s="256"/>
      <c r="BQ27" s="256"/>
    </row>
  </sheetData>
  <mergeCells count="14">
    <mergeCell ref="C3:F3"/>
    <mergeCell ref="B4:B14"/>
    <mergeCell ref="Q2:T2"/>
    <mergeCell ref="P3:P13"/>
    <mergeCell ref="W2:Z2"/>
    <mergeCell ref="X3:Y3"/>
    <mergeCell ref="BT3:BU3"/>
    <mergeCell ref="X16:Y16"/>
    <mergeCell ref="AL2:AO2"/>
    <mergeCell ref="AM3:AN3"/>
    <mergeCell ref="AM16:AN16"/>
    <mergeCell ref="BN5:BO5"/>
    <mergeCell ref="BL7:BL10"/>
    <mergeCell ref="BM7:BM10"/>
  </mergeCells>
  <phoneticPr fontId="5" type="noConversion"/>
  <pageMargins left="0.7" right="0.7" top="0.75" bottom="0.75" header="0.3" footer="0.3"/>
  <drawing r:id="rId1"/>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200-000000000000}">
  <dimension ref="A17:AK201"/>
  <sheetViews>
    <sheetView topLeftCell="A87" zoomScaleNormal="100" workbookViewId="0">
      <selection activeCell="B74" sqref="B74"/>
    </sheetView>
  </sheetViews>
  <sheetFormatPr defaultRowHeight="16.5"/>
  <cols>
    <col min="2" max="2" width="11.75" customWidth="1"/>
    <col min="8" max="8" width="13.75" customWidth="1"/>
    <col min="12" max="12" width="11" customWidth="1"/>
    <col min="22" max="22" width="11.625" customWidth="1"/>
  </cols>
  <sheetData>
    <row r="17" spans="6:17" s="262" customFormat="1" ht="41.25">
      <c r="F17" s="551" t="s">
        <v>970</v>
      </c>
      <c r="G17" s="551"/>
      <c r="H17" s="551"/>
      <c r="I17" s="551"/>
      <c r="J17" s="551"/>
      <c r="K17" s="551"/>
      <c r="L17" s="551"/>
      <c r="M17" s="551"/>
      <c r="N17" s="551"/>
      <c r="O17" s="551"/>
      <c r="P17" s="551"/>
    </row>
    <row r="22" spans="6:17" ht="20.25">
      <c r="Q22" s="263" t="s">
        <v>1022</v>
      </c>
    </row>
    <row r="23" spans="6:17" ht="20.25">
      <c r="Q23" s="263" t="s">
        <v>1023</v>
      </c>
    </row>
    <row r="34" spans="2:37">
      <c r="Y34" s="516" t="s">
        <v>1017</v>
      </c>
      <c r="Z34" s="516"/>
    </row>
    <row r="35" spans="2:37">
      <c r="Y35" s="1"/>
      <c r="Z35" s="1"/>
    </row>
    <row r="36" spans="2:37">
      <c r="Y36" s="1"/>
      <c r="Z36" s="1"/>
    </row>
    <row r="37" spans="2:37">
      <c r="Y37" s="1"/>
      <c r="Z37" s="1"/>
    </row>
    <row r="38" spans="2:37">
      <c r="C38" t="s">
        <v>977</v>
      </c>
      <c r="G38" t="s">
        <v>1029</v>
      </c>
      <c r="I38" s="236" t="s">
        <v>971</v>
      </c>
    </row>
    <row r="39" spans="2:37">
      <c r="C39" t="s">
        <v>978</v>
      </c>
      <c r="G39">
        <v>1</v>
      </c>
      <c r="I39" s="1"/>
      <c r="W39" s="122" t="s">
        <v>1015</v>
      </c>
    </row>
    <row r="40" spans="2:37">
      <c r="G40">
        <v>2</v>
      </c>
      <c r="I40" s="1"/>
      <c r="K40" s="553" t="s">
        <v>1000</v>
      </c>
      <c r="L40" s="518"/>
      <c r="AI40" s="516" t="s">
        <v>1021</v>
      </c>
      <c r="AJ40" s="516"/>
    </row>
    <row r="41" spans="2:37">
      <c r="C41" t="s">
        <v>979</v>
      </c>
      <c r="I41" s="1"/>
      <c r="K41" s="518"/>
      <c r="L41" s="518"/>
      <c r="AG41" s="246" t="s">
        <v>945</v>
      </c>
      <c r="AI41" s="1"/>
      <c r="AJ41" s="1"/>
    </row>
    <row r="42" spans="2:37">
      <c r="I42" s="1"/>
      <c r="K42" s="518"/>
      <c r="L42" s="518"/>
      <c r="W42" s="246" t="s">
        <v>945</v>
      </c>
      <c r="Y42" s="553" t="s">
        <v>1000</v>
      </c>
      <c r="Z42" s="518"/>
      <c r="AG42" s="249"/>
      <c r="AI42" s="1"/>
      <c r="AJ42" s="1"/>
    </row>
    <row r="43" spans="2:37">
      <c r="B43" s="122" t="s">
        <v>1027</v>
      </c>
      <c r="I43" s="1"/>
      <c r="K43" s="161"/>
      <c r="L43" s="161"/>
      <c r="N43" s="516" t="s">
        <v>1013</v>
      </c>
      <c r="O43" s="516"/>
      <c r="P43" s="516"/>
      <c r="Q43" s="516"/>
      <c r="R43" s="516"/>
      <c r="S43" s="516"/>
      <c r="W43" s="249"/>
      <c r="Y43" s="518"/>
      <c r="Z43" s="518"/>
      <c r="AG43" s="249"/>
      <c r="AI43" s="1"/>
      <c r="AJ43" s="1"/>
    </row>
    <row r="44" spans="2:37">
      <c r="I44" s="1"/>
      <c r="K44" s="161"/>
      <c r="L44" s="161"/>
      <c r="O44" s="516">
        <v>7</v>
      </c>
      <c r="P44" s="516"/>
      <c r="W44" s="249"/>
      <c r="Y44" s="518"/>
      <c r="Z44" s="518"/>
      <c r="AG44" s="249"/>
    </row>
    <row r="45" spans="2:37">
      <c r="I45" s="1"/>
      <c r="K45" s="161"/>
      <c r="L45" s="161"/>
      <c r="N45" s="518">
        <v>7</v>
      </c>
      <c r="O45" s="117"/>
      <c r="P45" s="117"/>
      <c r="T45" s="122" t="s">
        <v>965</v>
      </c>
      <c r="W45" s="249"/>
      <c r="Y45" s="161"/>
      <c r="Z45" s="161"/>
      <c r="AD45" s="122" t="s">
        <v>965</v>
      </c>
      <c r="AG45" s="249"/>
    </row>
    <row r="46" spans="2:37">
      <c r="I46" s="1"/>
      <c r="K46" s="161"/>
      <c r="L46" s="161"/>
      <c r="N46" s="518"/>
      <c r="O46" s="117"/>
      <c r="P46" s="117"/>
      <c r="W46" s="249"/>
      <c r="Y46" s="161"/>
      <c r="Z46" s="161"/>
      <c r="AG46" s="249"/>
    </row>
    <row r="47" spans="2:37">
      <c r="C47" t="s">
        <v>980</v>
      </c>
      <c r="D47">
        <v>100</v>
      </c>
      <c r="I47" s="1"/>
      <c r="K47" s="161"/>
      <c r="L47" s="161"/>
      <c r="N47" s="518"/>
      <c r="O47" s="117"/>
      <c r="P47" s="117"/>
      <c r="W47" s="249"/>
      <c r="Y47" s="161"/>
      <c r="Z47" s="161"/>
      <c r="AG47" s="249"/>
      <c r="AJ47" s="516" t="s">
        <v>1031</v>
      </c>
      <c r="AK47" s="516"/>
    </row>
    <row r="48" spans="2:37">
      <c r="I48" s="1"/>
      <c r="J48" t="s">
        <v>981</v>
      </c>
      <c r="K48">
        <f>I62</f>
        <v>6272</v>
      </c>
      <c r="L48" s="161"/>
      <c r="N48" s="518"/>
      <c r="O48" s="117"/>
      <c r="P48" s="117"/>
      <c r="W48" s="249"/>
      <c r="Y48" s="161"/>
      <c r="Z48" s="161"/>
      <c r="AG48" s="249"/>
      <c r="AJ48" s="161"/>
      <c r="AK48" s="161"/>
    </row>
    <row r="49" spans="1:37">
      <c r="B49" s="529">
        <v>100</v>
      </c>
      <c r="C49" s="529"/>
      <c r="D49" s="529"/>
      <c r="I49" s="1"/>
      <c r="K49" s="161"/>
      <c r="L49" s="161"/>
      <c r="W49" s="249"/>
      <c r="Y49" s="161"/>
      <c r="Z49" s="161"/>
      <c r="AG49" s="249"/>
      <c r="AJ49" s="161"/>
      <c r="AK49" s="161"/>
    </row>
    <row r="50" spans="1:37">
      <c r="A50" s="552">
        <v>32</v>
      </c>
      <c r="B50" s="264" t="s">
        <v>1028</v>
      </c>
      <c r="C50" s="133"/>
      <c r="D50" s="133"/>
      <c r="I50" s="1"/>
      <c r="K50" s="161"/>
      <c r="L50" s="161"/>
      <c r="M50" t="s">
        <v>1032</v>
      </c>
      <c r="O50" s="516" t="s">
        <v>1010</v>
      </c>
      <c r="P50" s="516"/>
      <c r="W50" s="249"/>
      <c r="Y50" s="161"/>
      <c r="Z50" s="161"/>
      <c r="AG50" s="249"/>
      <c r="AJ50" s="161"/>
      <c r="AK50" s="161"/>
    </row>
    <row r="51" spans="1:37">
      <c r="A51" s="552"/>
      <c r="B51" s="133"/>
      <c r="C51" s="133"/>
      <c r="D51" s="133"/>
      <c r="I51" s="1"/>
      <c r="K51" s="161"/>
      <c r="L51" s="161"/>
      <c r="W51" s="249"/>
      <c r="Y51" s="161"/>
      <c r="Z51" s="161"/>
      <c r="AG51" s="249"/>
      <c r="AH51" t="s">
        <v>1030</v>
      </c>
      <c r="AJ51" s="161"/>
      <c r="AK51" s="161"/>
    </row>
    <row r="52" spans="1:37">
      <c r="A52" s="552"/>
      <c r="B52" s="133"/>
      <c r="C52" s="133"/>
      <c r="D52" s="133"/>
      <c r="I52" s="1"/>
      <c r="K52" s="161"/>
      <c r="L52" s="161"/>
      <c r="M52">
        <f>6272*2</f>
        <v>12544</v>
      </c>
      <c r="Q52" t="s">
        <v>1011</v>
      </c>
      <c r="S52" t="s">
        <v>1012</v>
      </c>
      <c r="V52" t="s">
        <v>1014</v>
      </c>
      <c r="W52" s="249"/>
      <c r="Y52" s="161"/>
      <c r="Z52" s="161"/>
      <c r="AE52" t="s">
        <v>1019</v>
      </c>
      <c r="AG52" s="249"/>
    </row>
    <row r="53" spans="1:37">
      <c r="A53" s="552"/>
      <c r="B53" s="133"/>
      <c r="C53" s="133"/>
      <c r="D53" s="133"/>
      <c r="I53" s="1"/>
      <c r="K53" s="161"/>
      <c r="L53" s="161"/>
      <c r="W53" s="249"/>
      <c r="Y53" s="161"/>
      <c r="Z53" s="161"/>
      <c r="AG53" s="236" t="s">
        <v>1020</v>
      </c>
    </row>
    <row r="54" spans="1:37">
      <c r="A54" s="552"/>
      <c r="B54" s="133"/>
      <c r="C54" s="133"/>
      <c r="D54" s="133"/>
      <c r="G54">
        <v>100</v>
      </c>
      <c r="I54" s="1"/>
      <c r="K54" s="161"/>
      <c r="L54" s="161"/>
      <c r="T54">
        <f>128*5*5*64+64</f>
        <v>204864</v>
      </c>
      <c r="W54" s="236" t="s">
        <v>1016</v>
      </c>
      <c r="Y54" s="161"/>
      <c r="Z54" s="161"/>
      <c r="AA54" s="122" t="s">
        <v>1018</v>
      </c>
      <c r="AH54" t="s">
        <v>1024</v>
      </c>
    </row>
    <row r="55" spans="1:37">
      <c r="A55" s="552"/>
      <c r="B55" s="133"/>
      <c r="C55" s="133"/>
      <c r="D55" s="133"/>
      <c r="I55" s="1"/>
      <c r="V55">
        <f>64*2</f>
        <v>128</v>
      </c>
      <c r="Y55" s="161"/>
      <c r="Z55" s="161"/>
      <c r="AH55" t="s">
        <v>1025</v>
      </c>
    </row>
    <row r="56" spans="1:37">
      <c r="I56" s="1"/>
      <c r="O56">
        <f>25088/6272</f>
        <v>4</v>
      </c>
      <c r="Y56" s="161"/>
      <c r="Z56" s="161"/>
    </row>
    <row r="57" spans="1:37">
      <c r="I57" s="1"/>
      <c r="AF57">
        <f>5*5*64 +1</f>
        <v>1601</v>
      </c>
    </row>
    <row r="58" spans="1:37">
      <c r="I58" s="1"/>
    </row>
    <row r="59" spans="1:37">
      <c r="B59" s="119"/>
      <c r="C59" s="119"/>
      <c r="D59" s="119"/>
      <c r="E59" s="119"/>
      <c r="F59" s="119"/>
      <c r="K59" t="s">
        <v>974</v>
      </c>
    </row>
    <row r="60" spans="1:37">
      <c r="B60" s="119"/>
      <c r="C60" s="119"/>
      <c r="D60" s="119"/>
      <c r="E60" s="119"/>
      <c r="F60" s="119"/>
      <c r="I60" t="s">
        <v>976</v>
      </c>
      <c r="J60" t="s">
        <v>972</v>
      </c>
      <c r="K60" t="s">
        <v>973</v>
      </c>
      <c r="N60" t="s">
        <v>975</v>
      </c>
    </row>
    <row r="61" spans="1:37">
      <c r="B61" s="119"/>
      <c r="C61" s="119"/>
      <c r="D61" s="119"/>
      <c r="E61" s="119"/>
      <c r="F61" s="119"/>
    </row>
    <row r="62" spans="1:37" ht="17.25">
      <c r="B62" s="119"/>
      <c r="C62" s="119"/>
      <c r="D62" s="119"/>
      <c r="E62" s="119"/>
      <c r="F62" s="119"/>
      <c r="I62">
        <f>128*7*7</f>
        <v>6272</v>
      </c>
      <c r="Q62" s="267" t="s">
        <v>1033</v>
      </c>
      <c r="T62" s="3">
        <f>H64+M52+T54+V55+AF57</f>
        <v>852609</v>
      </c>
    </row>
    <row r="63" spans="1:37">
      <c r="B63" s="119"/>
      <c r="C63" s="119"/>
      <c r="D63" s="119"/>
      <c r="E63" s="119"/>
      <c r="F63" s="119"/>
      <c r="H63" t="s">
        <v>982</v>
      </c>
    </row>
    <row r="64" spans="1:37">
      <c r="B64" s="119"/>
      <c r="C64" s="119"/>
      <c r="D64" s="119"/>
      <c r="E64" s="119"/>
      <c r="F64" s="119"/>
      <c r="H64">
        <f>100*I62+I62</f>
        <v>633472</v>
      </c>
      <c r="L64" s="198" t="s">
        <v>998</v>
      </c>
    </row>
    <row r="65" spans="2:16">
      <c r="N65" t="s">
        <v>1009</v>
      </c>
    </row>
    <row r="66" spans="2:16">
      <c r="K66" s="215" t="s">
        <v>1001</v>
      </c>
    </row>
    <row r="67" spans="2:16">
      <c r="B67" s="127" t="s">
        <v>1002</v>
      </c>
      <c r="K67" s="215" t="s">
        <v>983</v>
      </c>
    </row>
    <row r="68" spans="2:16">
      <c r="K68" s="215" t="s">
        <v>984</v>
      </c>
    </row>
    <row r="69" spans="2:16">
      <c r="B69" s="90" t="s">
        <v>1005</v>
      </c>
      <c r="K69" s="215" t="s">
        <v>985</v>
      </c>
    </row>
    <row r="70" spans="2:16">
      <c r="B70" t="s">
        <v>1008</v>
      </c>
      <c r="K70" s="215" t="s">
        <v>986</v>
      </c>
    </row>
    <row r="71" spans="2:16">
      <c r="B71" s="90" t="s">
        <v>1006</v>
      </c>
      <c r="K71" s="215" t="s">
        <v>987</v>
      </c>
    </row>
    <row r="72" spans="2:16">
      <c r="B72" t="s">
        <v>1003</v>
      </c>
      <c r="K72" s="215" t="s">
        <v>988</v>
      </c>
    </row>
    <row r="73" spans="2:16">
      <c r="B73" s="90" t="s">
        <v>1007</v>
      </c>
      <c r="K73" s="215" t="s">
        <v>989</v>
      </c>
    </row>
    <row r="74" spans="2:16">
      <c r="B74" t="s">
        <v>1004</v>
      </c>
      <c r="K74" s="128" t="s">
        <v>990</v>
      </c>
      <c r="L74" s="3"/>
      <c r="M74" s="3"/>
      <c r="N74" s="3"/>
      <c r="P74" s="518" t="s">
        <v>999</v>
      </c>
    </row>
    <row r="75" spans="2:16">
      <c r="K75" s="128" t="s">
        <v>991</v>
      </c>
      <c r="L75" s="3"/>
      <c r="M75" s="3"/>
      <c r="N75" s="3"/>
      <c r="P75" s="518"/>
    </row>
    <row r="76" spans="2:16">
      <c r="K76" s="215" t="s">
        <v>992</v>
      </c>
    </row>
    <row r="77" spans="2:16">
      <c r="K77" s="215" t="s">
        <v>993</v>
      </c>
    </row>
    <row r="78" spans="2:16">
      <c r="K78" s="215" t="s">
        <v>994</v>
      </c>
    </row>
    <row r="79" spans="2:16">
      <c r="K79" s="215" t="s">
        <v>995</v>
      </c>
    </row>
    <row r="80" spans="2:16">
      <c r="K80" s="215" t="s">
        <v>996</v>
      </c>
    </row>
    <row r="81" spans="9:11">
      <c r="K81" s="215" t="s">
        <v>997</v>
      </c>
    </row>
    <row r="82" spans="9:11">
      <c r="K82" s="215" t="s">
        <v>700</v>
      </c>
    </row>
    <row r="83" spans="9:11">
      <c r="K83" s="215"/>
    </row>
    <row r="84" spans="9:11">
      <c r="K84" s="215"/>
    </row>
    <row r="85" spans="9:11">
      <c r="K85" s="215"/>
    </row>
    <row r="86" spans="9:11">
      <c r="K86" s="215"/>
    </row>
    <row r="87" spans="9:11">
      <c r="K87" s="215"/>
    </row>
    <row r="88" spans="9:11">
      <c r="K88" s="215"/>
    </row>
    <row r="89" spans="9:11">
      <c r="K89" s="215"/>
    </row>
    <row r="90" spans="9:11">
      <c r="K90" s="215"/>
    </row>
    <row r="91" spans="9:11">
      <c r="K91" s="215"/>
    </row>
    <row r="92" spans="9:11">
      <c r="K92" s="215"/>
    </row>
    <row r="93" spans="9:11">
      <c r="K93" s="215"/>
    </row>
    <row r="94" spans="9:11">
      <c r="I94">
        <v>12672</v>
      </c>
      <c r="K94" s="215"/>
    </row>
    <row r="95" spans="9:11">
      <c r="K95" s="215"/>
    </row>
    <row r="96" spans="9:11">
      <c r="K96" s="215"/>
    </row>
    <row r="97" spans="2:29">
      <c r="K97" s="215"/>
    </row>
    <row r="102" spans="2:29" s="262" customFormat="1" ht="41.25">
      <c r="F102" s="551" t="s">
        <v>1026</v>
      </c>
      <c r="G102" s="551"/>
      <c r="H102" s="551"/>
      <c r="I102" s="551"/>
      <c r="J102" s="551"/>
      <c r="K102" s="551"/>
      <c r="L102" s="551"/>
      <c r="M102" s="551"/>
      <c r="N102" s="551"/>
      <c r="O102" s="551"/>
      <c r="P102" s="551"/>
    </row>
    <row r="103" spans="2:29">
      <c r="B103" s="122" t="s">
        <v>1034</v>
      </c>
    </row>
    <row r="104" spans="2:29">
      <c r="B104" s="122" t="s">
        <v>1035</v>
      </c>
    </row>
    <row r="105" spans="2:29">
      <c r="B105" s="122" t="s">
        <v>1036</v>
      </c>
    </row>
    <row r="106" spans="2:29">
      <c r="B106" s="122" t="s">
        <v>1037</v>
      </c>
    </row>
    <row r="107" spans="2:29">
      <c r="B107" s="122" t="s">
        <v>1038</v>
      </c>
      <c r="S107" s="516" t="s">
        <v>1044</v>
      </c>
      <c r="T107" s="516"/>
      <c r="X107" s="516" t="s">
        <v>1050</v>
      </c>
      <c r="Y107" s="516"/>
    </row>
    <row r="108" spans="2:29">
      <c r="B108" s="122" t="s">
        <v>1039</v>
      </c>
      <c r="Q108" s="246" t="s">
        <v>945</v>
      </c>
      <c r="S108" s="516"/>
      <c r="T108" s="516"/>
      <c r="V108" s="246" t="s">
        <v>945</v>
      </c>
      <c r="X108" s="516"/>
      <c r="Y108" s="516"/>
      <c r="AA108" t="s">
        <v>836</v>
      </c>
    </row>
    <row r="109" spans="2:29">
      <c r="B109" s="122" t="s">
        <v>1037</v>
      </c>
      <c r="Q109" s="249"/>
      <c r="S109" s="516"/>
      <c r="T109" s="516"/>
      <c r="V109" s="249"/>
      <c r="X109" s="516"/>
      <c r="Y109" s="516"/>
      <c r="AA109" s="161">
        <v>1</v>
      </c>
    </row>
    <row r="110" spans="2:29">
      <c r="B110" s="122" t="s">
        <v>1038</v>
      </c>
      <c r="Q110" s="249"/>
      <c r="S110" s="516"/>
      <c r="T110" s="516"/>
      <c r="V110" s="249"/>
      <c r="X110" s="516"/>
      <c r="Y110" s="516"/>
      <c r="AA110" s="161"/>
    </row>
    <row r="111" spans="2:29">
      <c r="B111" s="122" t="s">
        <v>1040</v>
      </c>
      <c r="Q111" s="249"/>
      <c r="S111" s="516"/>
      <c r="T111" s="516"/>
      <c r="V111" s="249"/>
      <c r="X111" s="516"/>
      <c r="Y111" s="516"/>
      <c r="AA111" s="161"/>
      <c r="AC111" t="s">
        <v>907</v>
      </c>
    </row>
    <row r="112" spans="2:29">
      <c r="B112" s="122" t="s">
        <v>1041</v>
      </c>
      <c r="Q112" s="249"/>
      <c r="V112" s="249"/>
      <c r="AA112" s="161"/>
      <c r="AC112" s="1"/>
    </row>
    <row r="113" spans="2:30">
      <c r="B113" s="122" t="s">
        <v>1042</v>
      </c>
      <c r="Q113" s="249"/>
      <c r="V113" s="249"/>
      <c r="AA113" s="161"/>
      <c r="AC113" s="1"/>
      <c r="AD113" t="s">
        <v>1051</v>
      </c>
    </row>
    <row r="114" spans="2:30">
      <c r="B114" s="266" t="s">
        <v>1052</v>
      </c>
      <c r="C114" s="3"/>
      <c r="D114" s="3"/>
      <c r="K114" s="516" t="s">
        <v>1046</v>
      </c>
      <c r="L114" s="516"/>
      <c r="Q114" s="249"/>
      <c r="R114" t="s">
        <v>1047</v>
      </c>
      <c r="V114" s="249"/>
      <c r="AA114" s="161"/>
      <c r="AC114" s="1"/>
    </row>
    <row r="115" spans="2:30">
      <c r="K115" s="161"/>
      <c r="L115" s="161"/>
      <c r="Q115" s="249"/>
      <c r="R115" t="s">
        <v>1048</v>
      </c>
      <c r="V115" s="249"/>
      <c r="AA115" s="161"/>
    </row>
    <row r="116" spans="2:30">
      <c r="K116" s="161"/>
      <c r="L116" s="161"/>
      <c r="M116" t="s">
        <v>1045</v>
      </c>
      <c r="Q116" s="249"/>
      <c r="V116" s="249"/>
      <c r="AA116" s="161"/>
    </row>
    <row r="117" spans="2:30">
      <c r="K117" s="161"/>
      <c r="L117" s="161"/>
      <c r="Q117" s="249"/>
      <c r="V117" s="249"/>
      <c r="AA117" s="161"/>
    </row>
    <row r="118" spans="2:30">
      <c r="K118" s="161"/>
      <c r="L118" s="161"/>
      <c r="Q118" s="249"/>
      <c r="V118" s="249"/>
      <c r="Y118">
        <f>7*7*128</f>
        <v>6272</v>
      </c>
      <c r="AA118" s="161">
        <v>6272</v>
      </c>
    </row>
    <row r="119" spans="2:30">
      <c r="K119" s="516" t="s">
        <v>1043</v>
      </c>
      <c r="L119" s="516"/>
      <c r="Q119" s="249"/>
      <c r="V119" s="249"/>
    </row>
    <row r="120" spans="2:30">
      <c r="Q120" s="236" t="s">
        <v>1016</v>
      </c>
      <c r="V120" s="236" t="s">
        <v>1049</v>
      </c>
    </row>
    <row r="121" spans="2:30">
      <c r="S121">
        <f>5*5*64+64</f>
        <v>1664</v>
      </c>
      <c r="W121">
        <f>64*5*5*128+128</f>
        <v>204928</v>
      </c>
    </row>
    <row r="135" spans="2:16">
      <c r="J135">
        <v>212865</v>
      </c>
    </row>
    <row r="137" spans="2:16" s="262" customFormat="1" ht="41.25">
      <c r="F137" s="551" t="s">
        <v>1053</v>
      </c>
      <c r="G137" s="551"/>
      <c r="H137" s="551"/>
      <c r="I137" s="551"/>
      <c r="J137" s="551"/>
      <c r="K137" s="551"/>
      <c r="L137" s="551"/>
      <c r="M137" s="551"/>
      <c r="N137" s="551"/>
      <c r="O137" s="551"/>
      <c r="P137" s="551"/>
    </row>
    <row r="139" spans="2:16">
      <c r="B139" s="228" t="s">
        <v>1054</v>
      </c>
    </row>
    <row r="140" spans="2:16">
      <c r="B140" s="122" t="s">
        <v>1059</v>
      </c>
    </row>
    <row r="141" spans="2:16">
      <c r="B141" s="122" t="s">
        <v>1055</v>
      </c>
      <c r="M141" s="215" t="s">
        <v>1060</v>
      </c>
    </row>
    <row r="142" spans="2:16">
      <c r="B142" s="122" t="s">
        <v>1056</v>
      </c>
      <c r="M142" s="215" t="s">
        <v>1061</v>
      </c>
    </row>
    <row r="143" spans="2:16">
      <c r="B143" s="122" t="s">
        <v>1057</v>
      </c>
      <c r="M143" s="215" t="s">
        <v>1062</v>
      </c>
    </row>
    <row r="144" spans="2:16">
      <c r="B144" s="122" t="s">
        <v>1058</v>
      </c>
      <c r="M144" s="215" t="s">
        <v>1063</v>
      </c>
    </row>
    <row r="145" spans="13:16">
      <c r="M145" s="215" t="s">
        <v>1064</v>
      </c>
    </row>
    <row r="146" spans="13:16">
      <c r="M146" s="215" t="s">
        <v>1065</v>
      </c>
      <c r="P146" t="s">
        <v>1068</v>
      </c>
    </row>
    <row r="147" spans="13:16">
      <c r="M147" s="215" t="s">
        <v>1066</v>
      </c>
    </row>
    <row r="148" spans="13:16">
      <c r="M148" s="215" t="s">
        <v>1067</v>
      </c>
      <c r="O148">
        <v>1</v>
      </c>
      <c r="P148" s="265"/>
    </row>
    <row r="149" spans="13:16">
      <c r="M149" s="215" t="s">
        <v>700</v>
      </c>
      <c r="P149" s="265"/>
    </row>
    <row r="150" spans="13:16">
      <c r="P150" s="265"/>
    </row>
    <row r="151" spans="13:16">
      <c r="P151" s="265"/>
    </row>
    <row r="152" spans="13:16">
      <c r="P152" s="265"/>
    </row>
    <row r="153" spans="13:16">
      <c r="P153" s="265"/>
    </row>
    <row r="154" spans="13:16">
      <c r="P154" s="265"/>
    </row>
    <row r="155" spans="13:16">
      <c r="P155" s="265"/>
    </row>
    <row r="156" spans="13:16">
      <c r="P156" s="265"/>
    </row>
    <row r="157" spans="13:16">
      <c r="P157" s="265"/>
    </row>
    <row r="158" spans="13:16">
      <c r="P158" s="265"/>
    </row>
    <row r="159" spans="13:16">
      <c r="P159" s="265"/>
    </row>
    <row r="160" spans="13:16">
      <c r="O160">
        <v>100</v>
      </c>
      <c r="P160" s="265"/>
    </row>
    <row r="161" spans="3:26">
      <c r="Y161" s="516" t="s">
        <v>1069</v>
      </c>
      <c r="Z161" s="516"/>
    </row>
    <row r="162" spans="3:26">
      <c r="T162" t="s">
        <v>1070</v>
      </c>
    </row>
    <row r="163" spans="3:26">
      <c r="V163">
        <v>852609</v>
      </c>
    </row>
    <row r="167" spans="3:26">
      <c r="L167">
        <f>J135+I94</f>
        <v>225537</v>
      </c>
    </row>
    <row r="175" spans="3:26" s="1" customFormat="1">
      <c r="C175" s="1" t="s">
        <v>1090</v>
      </c>
    </row>
    <row r="178" spans="3:3">
      <c r="C178" s="163" t="s">
        <v>1071</v>
      </c>
    </row>
    <row r="179" spans="3:3">
      <c r="C179" s="122" t="s">
        <v>1072</v>
      </c>
    </row>
    <row r="180" spans="3:3">
      <c r="C180" s="122" t="s">
        <v>1073</v>
      </c>
    </row>
    <row r="181" spans="3:3">
      <c r="C181" s="122" t="s">
        <v>1074</v>
      </c>
    </row>
    <row r="182" spans="3:3">
      <c r="C182" s="164"/>
    </row>
    <row r="183" spans="3:3">
      <c r="C183" s="122" t="s">
        <v>1075</v>
      </c>
    </row>
    <row r="184" spans="3:3">
      <c r="C184" s="122" t="s">
        <v>1076</v>
      </c>
    </row>
    <row r="185" spans="3:3">
      <c r="C185" s="164"/>
    </row>
    <row r="186" spans="3:3">
      <c r="C186" s="122" t="s">
        <v>1077</v>
      </c>
    </row>
    <row r="187" spans="3:3">
      <c r="C187" s="122" t="s">
        <v>1078</v>
      </c>
    </row>
    <row r="188" spans="3:3">
      <c r="C188" s="122" t="s">
        <v>1079</v>
      </c>
    </row>
    <row r="189" spans="3:3">
      <c r="C189" s="122" t="s">
        <v>1080</v>
      </c>
    </row>
    <row r="190" spans="3:3">
      <c r="C190" s="164"/>
    </row>
    <row r="191" spans="3:3">
      <c r="C191" s="122" t="s">
        <v>1081</v>
      </c>
    </row>
    <row r="192" spans="3:3">
      <c r="C192" s="122" t="s">
        <v>1082</v>
      </c>
    </row>
    <row r="193" spans="3:3">
      <c r="C193" s="122" t="s">
        <v>1083</v>
      </c>
    </row>
    <row r="194" spans="3:3">
      <c r="C194" s="164"/>
    </row>
    <row r="195" spans="3:3">
      <c r="C195" s="122" t="s">
        <v>1084</v>
      </c>
    </row>
    <row r="196" spans="3:3">
      <c r="C196" s="122" t="s">
        <v>1085</v>
      </c>
    </row>
    <row r="197" spans="3:3">
      <c r="C197" s="122" t="s">
        <v>1086</v>
      </c>
    </row>
    <row r="198" spans="3:3">
      <c r="C198" s="164"/>
    </row>
    <row r="199" spans="3:3">
      <c r="C199" s="122" t="s">
        <v>1087</v>
      </c>
    </row>
    <row r="200" spans="3:3">
      <c r="C200" s="122" t="s">
        <v>1088</v>
      </c>
    </row>
    <row r="201" spans="3:3">
      <c r="C201" s="122" t="s">
        <v>1089</v>
      </c>
    </row>
  </sheetData>
  <mergeCells count="22">
    <mergeCell ref="A50:A55"/>
    <mergeCell ref="AJ47:AK47"/>
    <mergeCell ref="F17:P17"/>
    <mergeCell ref="P74:P75"/>
    <mergeCell ref="K40:L42"/>
    <mergeCell ref="O44:P44"/>
    <mergeCell ref="N45:N48"/>
    <mergeCell ref="O50:P50"/>
    <mergeCell ref="N43:S43"/>
    <mergeCell ref="Y34:Z34"/>
    <mergeCell ref="Y42:Z44"/>
    <mergeCell ref="AI40:AJ40"/>
    <mergeCell ref="F102:P102"/>
    <mergeCell ref="B49:D49"/>
    <mergeCell ref="F137:P137"/>
    <mergeCell ref="Y161:Z161"/>
    <mergeCell ref="K114:L114"/>
    <mergeCell ref="K119:L119"/>
    <mergeCell ref="S107:T107"/>
    <mergeCell ref="S108:T111"/>
    <mergeCell ref="X107:Y107"/>
    <mergeCell ref="X108:Y111"/>
  </mergeCells>
  <phoneticPr fontId="5" type="noConversion"/>
  <pageMargins left="0.7" right="0.7" top="0.75" bottom="0.75" header="0.3" footer="0.3"/>
  <pageSetup paperSize="9"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300-000000000000}">
  <dimension ref="B3:AJ101"/>
  <sheetViews>
    <sheetView topLeftCell="G21" zoomScaleNormal="100" workbookViewId="0">
      <selection activeCell="K43" sqref="K43"/>
    </sheetView>
  </sheetViews>
  <sheetFormatPr defaultRowHeight="16.5"/>
  <cols>
    <col min="12" max="14" width="4.25" customWidth="1"/>
    <col min="19" max="21" width="4.375" customWidth="1"/>
    <col min="30" max="31" width="6.625" customWidth="1"/>
    <col min="32" max="32" width="11.375" customWidth="1"/>
  </cols>
  <sheetData>
    <row r="3" spans="2:2" s="1" customFormat="1">
      <c r="B3" s="1" t="s">
        <v>1105</v>
      </c>
    </row>
    <row r="6" spans="2:2">
      <c r="B6" s="228" t="s">
        <v>1091</v>
      </c>
    </row>
    <row r="7" spans="2:2">
      <c r="B7" s="122" t="s">
        <v>1104</v>
      </c>
    </row>
    <row r="8" spans="2:2">
      <c r="B8" s="122" t="s">
        <v>1092</v>
      </c>
    </row>
    <row r="9" spans="2:2">
      <c r="B9" s="122" t="s">
        <v>1093</v>
      </c>
    </row>
    <row r="10" spans="2:2">
      <c r="B10" s="122" t="s">
        <v>1094</v>
      </c>
    </row>
    <row r="11" spans="2:2">
      <c r="B11" s="122" t="s">
        <v>1095</v>
      </c>
    </row>
    <row r="12" spans="2:2">
      <c r="B12" s="122" t="s">
        <v>1096</v>
      </c>
    </row>
    <row r="13" spans="2:2">
      <c r="B13" s="122" t="s">
        <v>1097</v>
      </c>
    </row>
    <row r="14" spans="2:2">
      <c r="B14" s="122" t="s">
        <v>1098</v>
      </c>
    </row>
    <row r="15" spans="2:2">
      <c r="B15" s="122" t="s">
        <v>1099</v>
      </c>
    </row>
    <row r="16" spans="2:2">
      <c r="B16" s="122" t="s">
        <v>1100</v>
      </c>
    </row>
    <row r="17" spans="2:31">
      <c r="B17" s="122" t="s">
        <v>1101</v>
      </c>
    </row>
    <row r="18" spans="2:31">
      <c r="B18" s="122" t="s">
        <v>1102</v>
      </c>
    </row>
    <row r="19" spans="2:31">
      <c r="B19" s="122" t="s">
        <v>1103</v>
      </c>
    </row>
    <row r="21" spans="2:31">
      <c r="B21" t="s">
        <v>1106</v>
      </c>
    </row>
    <row r="22" spans="2:31">
      <c r="B22" t="s">
        <v>1107</v>
      </c>
    </row>
    <row r="23" spans="2:31">
      <c r="B23" t="s">
        <v>1108</v>
      </c>
    </row>
    <row r="24" spans="2:31">
      <c r="B24" t="s">
        <v>1109</v>
      </c>
      <c r="R24" t="s">
        <v>2786</v>
      </c>
    </row>
    <row r="25" spans="2:31">
      <c r="B25" t="s">
        <v>2769</v>
      </c>
    </row>
    <row r="27" spans="2:31" ht="20.25">
      <c r="B27" s="468" t="s">
        <v>2768</v>
      </c>
    </row>
    <row r="28" spans="2:31" ht="20.25">
      <c r="B28" s="468"/>
      <c r="L28" s="208"/>
      <c r="M28" s="208"/>
      <c r="N28" s="208"/>
      <c r="P28" t="s">
        <v>2777</v>
      </c>
      <c r="S28">
        <f>3*3*3</f>
        <v>27</v>
      </c>
      <c r="AA28" s="208"/>
      <c r="AB28" s="208"/>
      <c r="AC28" s="208"/>
    </row>
    <row r="29" spans="2:31" ht="20.25">
      <c r="B29" s="468"/>
      <c r="L29" s="208"/>
      <c r="M29" s="208"/>
      <c r="N29" s="208"/>
      <c r="S29" s="208"/>
      <c r="T29" s="208"/>
      <c r="U29" s="208"/>
      <c r="AA29" s="208"/>
      <c r="AB29" s="208"/>
      <c r="AC29" s="208"/>
    </row>
    <row r="30" spans="2:31" ht="20.25">
      <c r="B30" s="468"/>
      <c r="E30" t="s">
        <v>2778</v>
      </c>
      <c r="L30" s="208"/>
      <c r="M30" s="208"/>
      <c r="N30" s="208"/>
      <c r="O30" t="s">
        <v>2771</v>
      </c>
      <c r="S30" s="208"/>
      <c r="T30" s="208"/>
      <c r="U30" s="208"/>
      <c r="Y30" t="s">
        <v>2770</v>
      </c>
      <c r="AA30" s="208"/>
      <c r="AB30" s="208"/>
      <c r="AC30" s="208"/>
    </row>
    <row r="31" spans="2:31" ht="20.25">
      <c r="B31" s="468"/>
      <c r="J31" t="s">
        <v>2770</v>
      </c>
      <c r="Q31" t="s">
        <v>2770</v>
      </c>
      <c r="S31" s="208"/>
      <c r="T31" s="208"/>
      <c r="U31" s="208"/>
      <c r="V31" t="s">
        <v>2771</v>
      </c>
      <c r="Y31" s="1"/>
      <c r="AC31" t="s">
        <v>2771</v>
      </c>
      <c r="AE31" t="s">
        <v>2787</v>
      </c>
    </row>
    <row r="32" spans="2:31" ht="20.25">
      <c r="B32" s="468"/>
      <c r="J32" s="1"/>
      <c r="O32" t="s">
        <v>2772</v>
      </c>
      <c r="Q32" s="1"/>
      <c r="W32" t="s">
        <v>2772</v>
      </c>
      <c r="Y32" s="1"/>
      <c r="AB32" t="s">
        <v>2772</v>
      </c>
      <c r="AE32" s="470"/>
    </row>
    <row r="33" spans="2:36" ht="20.25">
      <c r="B33" s="468"/>
      <c r="J33" s="1"/>
      <c r="Q33" s="1"/>
      <c r="Y33" s="1"/>
      <c r="AE33" s="470"/>
      <c r="AG33" t="s">
        <v>2788</v>
      </c>
    </row>
    <row r="34" spans="2:36" ht="20.25">
      <c r="B34" s="468"/>
      <c r="J34" s="1"/>
      <c r="O34" s="161"/>
      <c r="Q34" s="1"/>
      <c r="W34" s="161"/>
      <c r="Y34" s="1"/>
      <c r="AB34" s="161"/>
      <c r="AE34" s="470"/>
      <c r="AJ34" t="s">
        <v>2788</v>
      </c>
    </row>
    <row r="35" spans="2:36" ht="20.25">
      <c r="B35" s="468"/>
      <c r="J35" s="1"/>
      <c r="O35" s="161"/>
      <c r="Q35" s="1"/>
      <c r="W35" s="161"/>
      <c r="Y35" s="1"/>
      <c r="AB35" s="161"/>
      <c r="AE35" s="470"/>
      <c r="AG35" s="471"/>
    </row>
    <row r="36" spans="2:36" ht="20.25">
      <c r="B36" s="468"/>
      <c r="J36" s="1"/>
      <c r="O36" s="161"/>
      <c r="Q36" s="1"/>
      <c r="W36" s="161"/>
      <c r="Y36" s="1"/>
      <c r="AB36" s="161"/>
      <c r="AE36" s="470"/>
      <c r="AG36" s="471"/>
      <c r="AJ36" s="471"/>
    </row>
    <row r="37" spans="2:36" ht="20.25">
      <c r="B37" s="468"/>
      <c r="J37" s="1"/>
      <c r="O37" s="161"/>
      <c r="Q37" s="1"/>
      <c r="W37" s="161"/>
      <c r="Y37" s="1"/>
      <c r="AB37" s="161"/>
      <c r="AE37" s="470"/>
      <c r="AG37" s="471"/>
      <c r="AJ37" s="471"/>
    </row>
    <row r="38" spans="2:36" ht="20.25">
      <c r="B38" s="468"/>
      <c r="J38" s="1"/>
      <c r="O38" s="161"/>
      <c r="Q38" s="1"/>
      <c r="W38" s="161"/>
      <c r="Y38" s="1"/>
      <c r="AB38" s="161"/>
      <c r="AE38" s="470"/>
      <c r="AG38" s="471"/>
      <c r="AJ38" s="149"/>
    </row>
    <row r="39" spans="2:36" ht="20.25">
      <c r="B39" s="468"/>
      <c r="J39" s="1"/>
      <c r="Q39" s="1"/>
      <c r="Y39" s="1"/>
      <c r="AE39" s="470"/>
      <c r="AG39" s="471"/>
      <c r="AJ39" s="149"/>
    </row>
    <row r="40" spans="2:36" ht="20.25">
      <c r="B40" s="468"/>
      <c r="J40" s="1"/>
      <c r="Q40" s="1"/>
      <c r="AE40" s="470"/>
      <c r="AJ40" s="149"/>
    </row>
    <row r="41" spans="2:36" ht="20.25">
      <c r="B41" s="468"/>
      <c r="H41" t="s">
        <v>2773</v>
      </c>
      <c r="S41" t="s">
        <v>2774</v>
      </c>
      <c r="Z41" t="s">
        <v>2774</v>
      </c>
      <c r="AE41" s="470"/>
    </row>
    <row r="42" spans="2:36" ht="20.25">
      <c r="B42" s="468"/>
      <c r="H42" t="s">
        <v>2774</v>
      </c>
      <c r="J42">
        <v>32</v>
      </c>
      <c r="Q42">
        <v>32</v>
      </c>
      <c r="S42" t="s">
        <v>2781</v>
      </c>
      <c r="Y42">
        <v>64</v>
      </c>
      <c r="Z42" t="s">
        <v>2784</v>
      </c>
      <c r="AE42" s="470"/>
      <c r="AG42">
        <v>64</v>
      </c>
    </row>
    <row r="43" spans="2:36" ht="20.25">
      <c r="B43" s="468"/>
      <c r="H43" t="s">
        <v>2775</v>
      </c>
      <c r="O43" t="s">
        <v>2779</v>
      </c>
      <c r="W43" s="469" t="s">
        <v>2782</v>
      </c>
    </row>
    <row r="44" spans="2:36" ht="20.25">
      <c r="B44" s="468"/>
      <c r="K44" t="s">
        <v>2776</v>
      </c>
      <c r="O44" t="s">
        <v>2780</v>
      </c>
      <c r="W44" t="s">
        <v>2783</v>
      </c>
      <c r="AB44" t="s">
        <v>2785</v>
      </c>
    </row>
    <row r="45" spans="2:36" ht="20.25">
      <c r="B45" s="468"/>
      <c r="K45">
        <f>(J42*S28)+J42</f>
        <v>896</v>
      </c>
      <c r="P45" t="s">
        <v>2776</v>
      </c>
      <c r="AC45" t="s">
        <v>2776</v>
      </c>
      <c r="AF45" t="s">
        <v>2789</v>
      </c>
      <c r="AI45" t="s">
        <v>2789</v>
      </c>
    </row>
    <row r="46" spans="2:36" ht="20.25">
      <c r="B46" s="468"/>
      <c r="P46">
        <f>(J42*(3*3)+1)*Q42</f>
        <v>9248</v>
      </c>
      <c r="AC46">
        <f>(Q42*(3*3)+1)*Y42</f>
        <v>18496</v>
      </c>
      <c r="AF46">
        <f>AC46*AG42+AG42</f>
        <v>1183808</v>
      </c>
      <c r="AI46">
        <f>AG42*1+1</f>
        <v>65</v>
      </c>
    </row>
    <row r="47" spans="2:36" ht="20.25">
      <c r="B47" s="468"/>
    </row>
    <row r="48" spans="2:36" ht="20.25">
      <c r="B48" s="468"/>
    </row>
    <row r="49" spans="2:23" ht="20.25">
      <c r="B49" s="468"/>
      <c r="W49" t="s">
        <v>2790</v>
      </c>
    </row>
    <row r="50" spans="2:23" ht="20.25">
      <c r="B50" s="468"/>
      <c r="W50" s="90">
        <f>K45+P46+AC46+AF46+AI46</f>
        <v>1212513</v>
      </c>
    </row>
    <row r="51" spans="2:23" ht="20.25">
      <c r="B51" s="468"/>
    </row>
    <row r="52" spans="2:23" ht="20.25">
      <c r="B52" s="468"/>
    </row>
    <row r="85" spans="17:24">
      <c r="Q85" t="s">
        <v>2787</v>
      </c>
    </row>
    <row r="86" spans="17:24">
      <c r="U86" t="s">
        <v>2788</v>
      </c>
    </row>
    <row r="87" spans="17:24">
      <c r="Q87" s="186"/>
      <c r="U87" s="472"/>
    </row>
    <row r="88" spans="17:24">
      <c r="Q88" s="186"/>
      <c r="U88" s="472"/>
      <c r="X88" t="s">
        <v>2788</v>
      </c>
    </row>
    <row r="89" spans="17:24">
      <c r="Q89" s="186"/>
      <c r="U89" s="472"/>
      <c r="X89" s="472"/>
    </row>
    <row r="90" spans="17:24">
      <c r="Q90" s="186"/>
      <c r="U90" s="472"/>
      <c r="X90" s="472"/>
    </row>
    <row r="91" spans="17:24">
      <c r="Q91" s="186"/>
      <c r="U91" s="472"/>
      <c r="X91" s="472"/>
    </row>
    <row r="92" spans="17:24">
      <c r="Q92" s="186"/>
      <c r="U92" s="472"/>
      <c r="X92" s="472"/>
    </row>
    <row r="93" spans="17:24">
      <c r="Q93" s="186"/>
      <c r="U93" s="472"/>
      <c r="X93" s="149"/>
    </row>
    <row r="94" spans="17:24">
      <c r="Q94" s="186"/>
      <c r="U94" s="472"/>
      <c r="X94" s="149"/>
    </row>
    <row r="95" spans="17:24">
      <c r="Q95" s="186"/>
      <c r="U95" s="472"/>
      <c r="X95" s="149"/>
    </row>
    <row r="96" spans="17:24">
      <c r="Q96" s="186"/>
      <c r="X96" s="149"/>
    </row>
    <row r="97" spans="17:24">
      <c r="X97" s="149"/>
    </row>
    <row r="98" spans="17:24">
      <c r="Q98">
        <v>8192</v>
      </c>
      <c r="U98">
        <v>64</v>
      </c>
      <c r="X98">
        <f>U98*1+1</f>
        <v>65</v>
      </c>
    </row>
    <row r="100" spans="17:24">
      <c r="R100">
        <f>Q98*U98+U98</f>
        <v>524352</v>
      </c>
    </row>
    <row r="101" spans="17:24">
      <c r="V101">
        <f>R100+X98</f>
        <v>524417</v>
      </c>
    </row>
  </sheetData>
  <phoneticPr fontId="5" type="noConversion"/>
  <pageMargins left="0.7" right="0.7" top="0.75" bottom="0.75" header="0.3" footer="0.3"/>
  <drawing r:id="rId1"/>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400-000000000000}">
  <dimension ref="A1"/>
  <sheetViews>
    <sheetView workbookViewId="0">
      <selection activeCell="U11" sqref="U11"/>
    </sheetView>
  </sheetViews>
  <sheetFormatPr defaultRowHeight="16.5"/>
  <sheetData/>
  <phoneticPr fontId="5"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3:F129"/>
  <sheetViews>
    <sheetView topLeftCell="A92" zoomScale="115" zoomScaleNormal="115" workbookViewId="0">
      <selection activeCell="G104" sqref="G104"/>
    </sheetView>
  </sheetViews>
  <sheetFormatPr defaultRowHeight="16.5"/>
  <cols>
    <col min="1" max="1" width="10.375" customWidth="1"/>
    <col min="2" max="2" width="14.25" customWidth="1"/>
  </cols>
  <sheetData>
    <row r="3" spans="1:6" s="1" customFormat="1">
      <c r="B3" s="1" t="s">
        <v>92</v>
      </c>
      <c r="C3" s="1" t="s">
        <v>93</v>
      </c>
    </row>
    <row r="4" spans="1:6">
      <c r="E4" t="s">
        <v>97</v>
      </c>
    </row>
    <row r="5" spans="1:6">
      <c r="B5">
        <v>2.7182810000000002</v>
      </c>
      <c r="E5" t="s">
        <v>94</v>
      </c>
    </row>
    <row r="6" spans="1:6">
      <c r="E6" t="s">
        <v>95</v>
      </c>
      <c r="F6" t="s">
        <v>96</v>
      </c>
    </row>
    <row r="7" spans="1:6" ht="18.75">
      <c r="B7" s="32" t="s">
        <v>91</v>
      </c>
    </row>
    <row r="11" spans="1:6">
      <c r="A11" s="298" t="s">
        <v>1489</v>
      </c>
      <c r="B11" s="2" t="s">
        <v>1490</v>
      </c>
    </row>
    <row r="12" spans="1:6">
      <c r="A12">
        <v>0.01</v>
      </c>
      <c r="B12" s="299">
        <f>(1+A12)^(1/A12)</f>
        <v>2.7048138294215289</v>
      </c>
    </row>
    <row r="13" spans="1:6">
      <c r="A13">
        <v>9.9000000000000008E-3</v>
      </c>
      <c r="B13" s="299">
        <f t="shared" ref="B13:B76" si="0">(1+A13)^(1/A13)</f>
        <v>2.7049472990857111</v>
      </c>
    </row>
    <row r="14" spans="1:6">
      <c r="A14">
        <v>9.7999999999999997E-3</v>
      </c>
      <c r="B14" s="299">
        <f t="shared" si="0"/>
        <v>2.7050807929744298</v>
      </c>
    </row>
    <row r="15" spans="1:6">
      <c r="A15">
        <v>9.7000000000000003E-3</v>
      </c>
      <c r="B15" s="299">
        <f t="shared" si="0"/>
        <v>2.705214311094553</v>
      </c>
    </row>
    <row r="16" spans="1:6">
      <c r="A16">
        <v>9.5999999999999992E-3</v>
      </c>
      <c r="B16" s="299">
        <f t="shared" si="0"/>
        <v>2.7053478534529525</v>
      </c>
    </row>
    <row r="17" spans="1:2">
      <c r="A17">
        <v>9.4999999999999998E-3</v>
      </c>
      <c r="B17" s="299">
        <f t="shared" si="0"/>
        <v>2.7054814200565023</v>
      </c>
    </row>
    <row r="18" spans="1:2">
      <c r="A18">
        <v>9.4000000000000004E-3</v>
      </c>
      <c r="B18" s="299">
        <f t="shared" si="0"/>
        <v>2.7056150109120791</v>
      </c>
    </row>
    <row r="19" spans="1:2">
      <c r="A19">
        <v>9.2999999999999992E-3</v>
      </c>
      <c r="B19" s="299">
        <f t="shared" si="0"/>
        <v>2.7057486260265633</v>
      </c>
    </row>
    <row r="20" spans="1:2">
      <c r="A20">
        <v>9.2000000000000103E-3</v>
      </c>
      <c r="B20" s="299">
        <f t="shared" si="0"/>
        <v>2.7058822654068329</v>
      </c>
    </row>
    <row r="21" spans="1:2">
      <c r="A21">
        <v>9.1000000000000109E-3</v>
      </c>
      <c r="B21" s="299">
        <f t="shared" si="0"/>
        <v>2.7060159290597801</v>
      </c>
    </row>
    <row r="22" spans="1:2">
      <c r="A22">
        <v>9.0000000000000097E-3</v>
      </c>
      <c r="B22" s="299">
        <f t="shared" si="0"/>
        <v>2.7061496169922883</v>
      </c>
    </row>
    <row r="23" spans="1:2">
      <c r="A23">
        <v>8.9000000000000103E-3</v>
      </c>
      <c r="B23" s="299">
        <f t="shared" si="0"/>
        <v>2.706283329211181</v>
      </c>
    </row>
    <row r="24" spans="1:2">
      <c r="A24">
        <v>8.8000000000000092E-3</v>
      </c>
      <c r="B24" s="299">
        <f t="shared" si="0"/>
        <v>2.7064170657234845</v>
      </c>
    </row>
    <row r="25" spans="1:2">
      <c r="A25">
        <v>8.7000000000000098E-3</v>
      </c>
      <c r="B25" s="299">
        <f t="shared" si="0"/>
        <v>2.7065508265360272</v>
      </c>
    </row>
    <row r="26" spans="1:2">
      <c r="A26">
        <v>8.6000000000000104E-3</v>
      </c>
      <c r="B26" s="299">
        <f t="shared" si="0"/>
        <v>2.7066846116557075</v>
      </c>
    </row>
    <row r="27" spans="1:2">
      <c r="A27">
        <v>8.5000000000000093E-3</v>
      </c>
      <c r="B27" s="299">
        <f t="shared" si="0"/>
        <v>2.7068184210894275</v>
      </c>
    </row>
    <row r="28" spans="1:2">
      <c r="A28">
        <v>8.4000000000000099E-3</v>
      </c>
      <c r="B28" s="299">
        <f t="shared" si="0"/>
        <v>2.7069522548440883</v>
      </c>
    </row>
    <row r="29" spans="1:2">
      <c r="A29">
        <v>8.3000000000000105E-3</v>
      </c>
      <c r="B29" s="299">
        <f t="shared" si="0"/>
        <v>2.7070861129265977</v>
      </c>
    </row>
    <row r="30" spans="1:2">
      <c r="A30">
        <v>8.2000000000000094E-3</v>
      </c>
      <c r="B30" s="299">
        <f t="shared" si="0"/>
        <v>2.7072199953438632</v>
      </c>
    </row>
    <row r="31" spans="1:2">
      <c r="A31">
        <v>8.10000000000001E-3</v>
      </c>
      <c r="B31" s="299">
        <f t="shared" si="0"/>
        <v>2.7073539021027972</v>
      </c>
    </row>
    <row r="32" spans="1:2">
      <c r="A32">
        <v>8.0000000000000106E-3</v>
      </c>
      <c r="B32" s="299">
        <f t="shared" si="0"/>
        <v>2.7074878332103132</v>
      </c>
    </row>
    <row r="33" spans="1:2">
      <c r="A33">
        <v>7.9000000000000094E-3</v>
      </c>
      <c r="B33" s="299">
        <f t="shared" si="0"/>
        <v>2.7076217886733289</v>
      </c>
    </row>
    <row r="34" spans="1:2">
      <c r="A34">
        <v>7.8000000000000101E-3</v>
      </c>
      <c r="B34" s="299">
        <f t="shared" si="0"/>
        <v>2.7077557684987621</v>
      </c>
    </row>
    <row r="35" spans="1:2">
      <c r="A35">
        <v>7.7000000000000098E-3</v>
      </c>
      <c r="B35" s="299">
        <f t="shared" si="0"/>
        <v>2.707889772693536</v>
      </c>
    </row>
    <row r="36" spans="1:2">
      <c r="A36">
        <v>7.6000000000000104E-3</v>
      </c>
      <c r="B36" s="299">
        <f t="shared" si="0"/>
        <v>2.7080238012645745</v>
      </c>
    </row>
    <row r="37" spans="1:2">
      <c r="A37">
        <v>7.5000000000000197E-3</v>
      </c>
      <c r="B37" s="299">
        <f t="shared" si="0"/>
        <v>2.7081578542188018</v>
      </c>
    </row>
    <row r="38" spans="1:2">
      <c r="A38">
        <v>7.4000000000000203E-3</v>
      </c>
      <c r="B38" s="299">
        <f t="shared" si="0"/>
        <v>2.7082919315631555</v>
      </c>
    </row>
    <row r="39" spans="1:2">
      <c r="A39">
        <v>7.30000000000002E-3</v>
      </c>
      <c r="B39" s="299">
        <f t="shared" si="0"/>
        <v>2.7084260333045651</v>
      </c>
    </row>
    <row r="40" spans="1:2">
      <c r="A40">
        <v>7.2000000000000198E-3</v>
      </c>
      <c r="B40" s="299">
        <f t="shared" si="0"/>
        <v>2.7085601594499646</v>
      </c>
    </row>
    <row r="41" spans="1:2">
      <c r="A41">
        <v>7.1000000000000204E-3</v>
      </c>
      <c r="B41" s="299">
        <f t="shared" si="0"/>
        <v>2.7086943100062921</v>
      </c>
    </row>
    <row r="42" spans="1:2">
      <c r="A42">
        <v>7.0000000000000201E-3</v>
      </c>
      <c r="B42" s="299">
        <f t="shared" si="0"/>
        <v>2.70882848498049</v>
      </c>
    </row>
    <row r="43" spans="1:2">
      <c r="A43">
        <v>6.9000000000000198E-3</v>
      </c>
      <c r="B43" s="299">
        <f t="shared" si="0"/>
        <v>2.7089626843795007</v>
      </c>
    </row>
    <row r="44" spans="1:2">
      <c r="A44">
        <v>6.8000000000000196E-3</v>
      </c>
      <c r="B44" s="299">
        <f t="shared" si="0"/>
        <v>2.7090969082101832</v>
      </c>
    </row>
    <row r="45" spans="1:2">
      <c r="A45">
        <v>6.7000000000000202E-3</v>
      </c>
      <c r="B45" s="299">
        <f t="shared" si="0"/>
        <v>2.7092311564796585</v>
      </c>
    </row>
    <row r="46" spans="1:2">
      <c r="A46">
        <v>6.6000000000000199E-3</v>
      </c>
      <c r="B46" s="299">
        <f t="shared" si="0"/>
        <v>2.709365429194794</v>
      </c>
    </row>
    <row r="47" spans="1:2">
      <c r="A47">
        <v>6.5000000000000197E-3</v>
      </c>
      <c r="B47" s="299">
        <f t="shared" si="0"/>
        <v>2.7094997263625431</v>
      </c>
    </row>
    <row r="48" spans="1:2">
      <c r="A48">
        <v>6.4000000000000203E-3</v>
      </c>
      <c r="B48" s="299">
        <f t="shared" si="0"/>
        <v>2.7096340479898617</v>
      </c>
    </row>
    <row r="49" spans="1:2">
      <c r="A49">
        <v>6.30000000000002E-3</v>
      </c>
      <c r="B49" s="299">
        <f t="shared" si="0"/>
        <v>2.7097683940837101</v>
      </c>
    </row>
    <row r="50" spans="1:2">
      <c r="A50">
        <v>6.2000000000000197E-3</v>
      </c>
      <c r="B50" s="299">
        <f t="shared" si="0"/>
        <v>2.7099027646510505</v>
      </c>
    </row>
    <row r="51" spans="1:2">
      <c r="A51">
        <v>6.1000000000000203E-3</v>
      </c>
      <c r="B51" s="299">
        <f t="shared" si="0"/>
        <v>2.7100371596988477</v>
      </c>
    </row>
    <row r="52" spans="1:2">
      <c r="A52">
        <v>6.0000000000000201E-3</v>
      </c>
      <c r="B52" s="299">
        <f t="shared" si="0"/>
        <v>2.7101715792340699</v>
      </c>
    </row>
    <row r="53" spans="1:2">
      <c r="A53">
        <v>5.9000000000000198E-3</v>
      </c>
      <c r="B53" s="299">
        <f t="shared" si="0"/>
        <v>2.7103060232636862</v>
      </c>
    </row>
    <row r="54" spans="1:2">
      <c r="A54">
        <v>5.80000000000003E-3</v>
      </c>
      <c r="B54" s="299">
        <f t="shared" si="0"/>
        <v>2.7104404917946661</v>
      </c>
    </row>
    <row r="55" spans="1:2">
      <c r="A55">
        <v>5.7000000000000297E-3</v>
      </c>
      <c r="B55" s="299">
        <f t="shared" si="0"/>
        <v>2.7105749848339937</v>
      </c>
    </row>
    <row r="56" spans="1:2">
      <c r="A56">
        <v>5.6000000000000303E-3</v>
      </c>
      <c r="B56" s="299">
        <f t="shared" si="0"/>
        <v>2.7107095023886423</v>
      </c>
    </row>
    <row r="57" spans="1:2">
      <c r="A57">
        <v>5.50000000000003E-3</v>
      </c>
      <c r="B57" s="299">
        <f t="shared" si="0"/>
        <v>2.7108440444655946</v>
      </c>
    </row>
    <row r="58" spans="1:2">
      <c r="A58">
        <v>5.4000000000000298E-3</v>
      </c>
      <c r="B58" s="299">
        <f t="shared" si="0"/>
        <v>2.710978611071833</v>
      </c>
    </row>
    <row r="59" spans="1:2">
      <c r="A59">
        <v>5.3000000000000304E-3</v>
      </c>
      <c r="B59" s="299">
        <f t="shared" si="0"/>
        <v>2.711113202214344</v>
      </c>
    </row>
    <row r="60" spans="1:2">
      <c r="A60">
        <v>5.2000000000000301E-3</v>
      </c>
      <c r="B60" s="299">
        <f t="shared" si="0"/>
        <v>2.7112478179001176</v>
      </c>
    </row>
    <row r="61" spans="1:2">
      <c r="A61">
        <v>5.1000000000000299E-3</v>
      </c>
      <c r="B61" s="299">
        <f t="shared" si="0"/>
        <v>2.711382458136145</v>
      </c>
    </row>
    <row r="62" spans="1:2">
      <c r="A62">
        <v>5.0000000000000296E-3</v>
      </c>
      <c r="B62" s="299">
        <f t="shared" si="0"/>
        <v>2.711517122929421</v>
      </c>
    </row>
    <row r="63" spans="1:2">
      <c r="A63">
        <v>4.9000000000000302E-3</v>
      </c>
      <c r="B63" s="299">
        <f t="shared" si="0"/>
        <v>2.7116518122869424</v>
      </c>
    </row>
    <row r="64" spans="1:2">
      <c r="A64">
        <v>4.8000000000000299E-3</v>
      </c>
      <c r="B64" s="299">
        <f t="shared" si="0"/>
        <v>2.7117865262157101</v>
      </c>
    </row>
    <row r="65" spans="1:2">
      <c r="A65">
        <v>4.7000000000000297E-3</v>
      </c>
      <c r="B65" s="299">
        <f t="shared" si="0"/>
        <v>2.7119212647225983</v>
      </c>
    </row>
    <row r="66" spans="1:2">
      <c r="A66">
        <v>4.6000000000000303E-3</v>
      </c>
      <c r="B66" s="299">
        <f t="shared" si="0"/>
        <v>2.7120560278148642</v>
      </c>
    </row>
    <row r="67" spans="1:2">
      <c r="A67">
        <v>4.50000000000003E-3</v>
      </c>
      <c r="B67" s="299">
        <f t="shared" si="0"/>
        <v>2.712190815499393</v>
      </c>
    </row>
    <row r="68" spans="1:2">
      <c r="A68">
        <v>4.4000000000000298E-3</v>
      </c>
      <c r="B68" s="299">
        <f t="shared" si="0"/>
        <v>2.7123256277831946</v>
      </c>
    </row>
    <row r="69" spans="1:2">
      <c r="A69">
        <v>4.3000000000000304E-3</v>
      </c>
      <c r="B69" s="299">
        <f t="shared" si="0"/>
        <v>2.7124604646732808</v>
      </c>
    </row>
    <row r="70" spans="1:2">
      <c r="A70">
        <v>4.2000000000000396E-3</v>
      </c>
      <c r="B70" s="299">
        <f t="shared" si="0"/>
        <v>2.7125953261766642</v>
      </c>
    </row>
    <row r="71" spans="1:2">
      <c r="A71">
        <v>4.1000000000000402E-3</v>
      </c>
      <c r="B71" s="299">
        <f t="shared" si="0"/>
        <v>2.7127302123003743</v>
      </c>
    </row>
    <row r="72" spans="1:2">
      <c r="A72">
        <v>4.00000000000004E-3</v>
      </c>
      <c r="B72" s="299">
        <f t="shared" si="0"/>
        <v>2.7128651230514276</v>
      </c>
    </row>
    <row r="73" spans="1:2">
      <c r="A73">
        <v>3.9000000000000402E-3</v>
      </c>
      <c r="B73" s="299">
        <f t="shared" si="0"/>
        <v>2.7130000584368483</v>
      </c>
    </row>
    <row r="74" spans="1:2">
      <c r="A74">
        <v>3.8000000000000399E-3</v>
      </c>
      <c r="B74" s="299">
        <f t="shared" si="0"/>
        <v>2.7131350184636629</v>
      </c>
    </row>
    <row r="75" spans="1:2">
      <c r="A75">
        <v>3.7000000000000401E-3</v>
      </c>
      <c r="B75" s="299">
        <f t="shared" si="0"/>
        <v>2.7132700031389017</v>
      </c>
    </row>
    <row r="76" spans="1:2">
      <c r="A76">
        <v>3.6000000000000398E-3</v>
      </c>
      <c r="B76" s="299">
        <f t="shared" si="0"/>
        <v>2.7134050124695972</v>
      </c>
    </row>
    <row r="77" spans="1:2">
      <c r="A77">
        <v>3.50000000000004E-3</v>
      </c>
      <c r="B77" s="299">
        <f t="shared" ref="B77:B129" si="1">(1+A77)^(1/A77)</f>
        <v>2.7135400464627839</v>
      </c>
    </row>
    <row r="78" spans="1:2">
      <c r="A78">
        <v>3.4000000000000401E-3</v>
      </c>
      <c r="B78" s="299">
        <f t="shared" si="1"/>
        <v>2.7136751051255019</v>
      </c>
    </row>
    <row r="79" spans="1:2">
      <c r="A79">
        <v>3.3000000000000399E-3</v>
      </c>
      <c r="B79" s="299">
        <f t="shared" si="1"/>
        <v>2.7138101884647896</v>
      </c>
    </row>
    <row r="80" spans="1:2">
      <c r="A80">
        <v>3.2000000000000401E-3</v>
      </c>
      <c r="B80" s="299">
        <f t="shared" si="1"/>
        <v>2.713945296487692</v>
      </c>
    </row>
    <row r="81" spans="1:2">
      <c r="A81">
        <v>3.1000000000000398E-3</v>
      </c>
      <c r="B81" s="299">
        <f t="shared" si="1"/>
        <v>2.7140804292012546</v>
      </c>
    </row>
    <row r="82" spans="1:2">
      <c r="A82">
        <v>3.00000000000004E-3</v>
      </c>
      <c r="B82" s="299">
        <f t="shared" si="1"/>
        <v>2.7142155866125259</v>
      </c>
    </row>
    <row r="83" spans="1:2">
      <c r="A83">
        <v>2.9000000000000401E-3</v>
      </c>
      <c r="B83" s="299">
        <f t="shared" si="1"/>
        <v>2.7143507687285582</v>
      </c>
    </row>
    <row r="84" spans="1:2">
      <c r="A84">
        <v>2.8000000000000399E-3</v>
      </c>
      <c r="B84" s="299">
        <f t="shared" si="1"/>
        <v>2.7144859755564061</v>
      </c>
    </row>
    <row r="85" spans="1:2">
      <c r="A85">
        <v>2.70000000000004E-3</v>
      </c>
      <c r="B85" s="299">
        <f t="shared" si="1"/>
        <v>2.7146212071031264</v>
      </c>
    </row>
    <row r="86" spans="1:2">
      <c r="A86">
        <v>2.6000000000000402E-3</v>
      </c>
      <c r="B86" s="299">
        <f t="shared" si="1"/>
        <v>2.7147564633755477</v>
      </c>
    </row>
    <row r="87" spans="1:2">
      <c r="A87">
        <v>2.5000000000000499E-3</v>
      </c>
      <c r="B87" s="299">
        <f t="shared" si="1"/>
        <v>2.7148917443811751</v>
      </c>
    </row>
    <row r="88" spans="1:2">
      <c r="A88">
        <v>2.4000000000000501E-3</v>
      </c>
      <c r="B88" s="299">
        <f t="shared" si="1"/>
        <v>2.7150270501268725</v>
      </c>
    </row>
    <row r="89" spans="1:2">
      <c r="A89">
        <v>2.3000000000000498E-3</v>
      </c>
      <c r="B89" s="299">
        <f t="shared" si="1"/>
        <v>2.7151623806196974</v>
      </c>
    </row>
    <row r="90" spans="1:2">
      <c r="A90">
        <v>2.20000000000005E-3</v>
      </c>
      <c r="B90" s="299">
        <f t="shared" si="1"/>
        <v>2.715297735866721</v>
      </c>
    </row>
    <row r="91" spans="1:2">
      <c r="A91">
        <v>2.1000000000000502E-3</v>
      </c>
      <c r="B91" s="299">
        <f t="shared" si="1"/>
        <v>2.7154331158750167</v>
      </c>
    </row>
    <row r="92" spans="1:2">
      <c r="A92">
        <v>2.0000000000000499E-3</v>
      </c>
      <c r="B92" s="299">
        <f t="shared" si="1"/>
        <v>2.7155685206516607</v>
      </c>
    </row>
    <row r="93" spans="1:2">
      <c r="A93">
        <v>1.9000000000000501E-3</v>
      </c>
      <c r="B93" s="299">
        <f t="shared" si="1"/>
        <v>2.7157039502037321</v>
      </c>
    </row>
    <row r="94" spans="1:2">
      <c r="A94">
        <v>1.80000000000005E-3</v>
      </c>
      <c r="B94" s="299">
        <f t="shared" si="1"/>
        <v>2.715839404538313</v>
      </c>
    </row>
    <row r="95" spans="1:2">
      <c r="A95">
        <v>1.70000000000005E-3</v>
      </c>
      <c r="B95" s="299">
        <f t="shared" si="1"/>
        <v>2.7159748836624882</v>
      </c>
    </row>
    <row r="96" spans="1:2">
      <c r="A96">
        <v>1.6000000000000499E-3</v>
      </c>
      <c r="B96" s="299">
        <f t="shared" si="1"/>
        <v>2.716110387583345</v>
      </c>
    </row>
    <row r="97" spans="1:2">
      <c r="A97">
        <v>1.5000000000000499E-3</v>
      </c>
      <c r="B97" s="299">
        <f t="shared" si="1"/>
        <v>2.7162459163079737</v>
      </c>
    </row>
    <row r="98" spans="1:2">
      <c r="A98">
        <v>1.4000000000000501E-3</v>
      </c>
      <c r="B98" s="299">
        <f t="shared" si="1"/>
        <v>2.716381469843467</v>
      </c>
    </row>
    <row r="99" spans="1:2">
      <c r="A99">
        <v>1.30000000000005E-3</v>
      </c>
      <c r="B99" s="299">
        <f t="shared" si="1"/>
        <v>2.7165170481969221</v>
      </c>
    </row>
    <row r="100" spans="1:2">
      <c r="A100">
        <v>1.20000000000005E-3</v>
      </c>
      <c r="B100" s="299">
        <f t="shared" si="1"/>
        <v>2.7166526513754374</v>
      </c>
    </row>
    <row r="101" spans="1:2">
      <c r="A101">
        <v>1.1000000000000499E-3</v>
      </c>
      <c r="B101" s="299">
        <f t="shared" si="1"/>
        <v>2.7167882793861153</v>
      </c>
    </row>
    <row r="102" spans="1:2">
      <c r="A102">
        <v>1.0000000000000499E-3</v>
      </c>
      <c r="B102" s="299">
        <f t="shared" si="1"/>
        <v>2.7169239322360612</v>
      </c>
    </row>
    <row r="103" spans="1:2">
      <c r="A103">
        <v>9.0000000000006004E-4</v>
      </c>
      <c r="B103" s="299">
        <f t="shared" si="1"/>
        <v>2.7170596099323521</v>
      </c>
    </row>
    <row r="104" spans="1:2">
      <c r="A104">
        <v>8.0000000000005902E-4</v>
      </c>
      <c r="B104" s="299">
        <f t="shared" si="1"/>
        <v>2.7171953124821626</v>
      </c>
    </row>
    <row r="105" spans="1:2">
      <c r="A105">
        <v>7.0000000000005995E-4</v>
      </c>
      <c r="B105" s="299">
        <f t="shared" si="1"/>
        <v>2.717331039892573</v>
      </c>
    </row>
    <row r="106" spans="1:2">
      <c r="A106">
        <v>6.0000000000006099E-4</v>
      </c>
      <c r="B106" s="299">
        <f t="shared" si="1"/>
        <v>2.7174667921707112</v>
      </c>
    </row>
    <row r="107" spans="1:2">
      <c r="A107">
        <v>5.0000000000005899E-4</v>
      </c>
      <c r="B107" s="299">
        <f t="shared" si="1"/>
        <v>2.7176025693237258</v>
      </c>
    </row>
    <row r="108" spans="1:2">
      <c r="A108">
        <v>4.0000000000005998E-4</v>
      </c>
      <c r="B108" s="299">
        <f t="shared" si="1"/>
        <v>2.7177383713572318</v>
      </c>
    </row>
    <row r="109" spans="1:2">
      <c r="A109">
        <v>3.0000000000006101E-4</v>
      </c>
      <c r="B109" s="299">
        <f t="shared" si="1"/>
        <v>2.7178741982809496</v>
      </c>
    </row>
    <row r="110" spans="1:2">
      <c r="A110">
        <v>2.0000000000005999E-4</v>
      </c>
      <c r="B110" s="299">
        <f t="shared" si="1"/>
        <v>2.7180100501007396</v>
      </c>
    </row>
    <row r="111" spans="1:2">
      <c r="A111">
        <v>1.0000000000006E-4</v>
      </c>
      <c r="B111" s="299">
        <f t="shared" si="1"/>
        <v>2.7181459268232944</v>
      </c>
    </row>
    <row r="112" spans="1:2">
      <c r="A112">
        <v>6.0715321659188199E-17</v>
      </c>
      <c r="B112" s="299">
        <f t="shared" si="1"/>
        <v>1</v>
      </c>
    </row>
    <row r="113" spans="1:2">
      <c r="A113">
        <v>-9.9999999999900502E-5</v>
      </c>
      <c r="B113" s="299">
        <f t="shared" si="1"/>
        <v>2.7184177550098365</v>
      </c>
    </row>
    <row r="114" spans="1:2">
      <c r="A114">
        <v>-1.9999999999989999E-4</v>
      </c>
      <c r="B114" s="299">
        <f t="shared" si="1"/>
        <v>2.7185537064861243</v>
      </c>
    </row>
    <row r="115" spans="1:2">
      <c r="A115">
        <v>-2.9999999999989898E-4</v>
      </c>
      <c r="B115" s="299">
        <f t="shared" si="1"/>
        <v>2.7186896828941678</v>
      </c>
    </row>
    <row r="116" spans="1:2">
      <c r="A116">
        <v>-3.999999999999E-4</v>
      </c>
      <c r="B116" s="299">
        <f t="shared" si="1"/>
        <v>2.7188256842411711</v>
      </c>
    </row>
    <row r="117" spans="1:2">
      <c r="A117">
        <v>-4.9999999999990005E-4</v>
      </c>
      <c r="B117" s="299">
        <f t="shared" si="1"/>
        <v>2.7189617105349257</v>
      </c>
    </row>
    <row r="118" spans="1:2">
      <c r="A118">
        <v>-5.9999999999989901E-4</v>
      </c>
      <c r="B118" s="299">
        <f t="shared" si="1"/>
        <v>2.7190977617812697</v>
      </c>
    </row>
    <row r="119" spans="1:2">
      <c r="A119">
        <v>-6.9999999999990003E-4</v>
      </c>
      <c r="B119" s="299">
        <f t="shared" si="1"/>
        <v>2.7192338379880781</v>
      </c>
    </row>
    <row r="120" spans="1:2">
      <c r="A120">
        <v>-7.9999999999989997E-4</v>
      </c>
      <c r="B120" s="299">
        <f t="shared" si="1"/>
        <v>2.7193699391625072</v>
      </c>
    </row>
    <row r="121" spans="1:2">
      <c r="A121">
        <v>-8.9999999999989904E-4</v>
      </c>
      <c r="B121" s="299">
        <f t="shared" si="1"/>
        <v>2.7195060653117058</v>
      </c>
    </row>
    <row r="122" spans="1:2">
      <c r="A122">
        <v>-9.9999999999990006E-4</v>
      </c>
      <c r="B122" s="299">
        <f t="shared" si="1"/>
        <v>2.7196422164428231</v>
      </c>
    </row>
    <row r="123" spans="1:2">
      <c r="A123">
        <v>-1.0999999999999001E-3</v>
      </c>
      <c r="B123" s="299">
        <f t="shared" si="1"/>
        <v>2.7197783925630241</v>
      </c>
    </row>
    <row r="124" spans="1:2">
      <c r="A124">
        <v>-1.1999999999998999E-3</v>
      </c>
      <c r="B124" s="299">
        <f t="shared" si="1"/>
        <v>2.7199145936794729</v>
      </c>
    </row>
    <row r="125" spans="1:2">
      <c r="A125">
        <v>-1.2999999999999E-3</v>
      </c>
      <c r="B125" s="299">
        <f t="shared" si="1"/>
        <v>2.7200508197993334</v>
      </c>
    </row>
    <row r="126" spans="1:2">
      <c r="A126">
        <v>-1.3999999999999E-3</v>
      </c>
      <c r="B126" s="299">
        <f t="shared" si="1"/>
        <v>2.7201870709297769</v>
      </c>
    </row>
    <row r="127" spans="1:2">
      <c r="A127">
        <v>-1.4999999999999001E-3</v>
      </c>
      <c r="B127" s="299">
        <f t="shared" si="1"/>
        <v>2.720323347078176</v>
      </c>
    </row>
    <row r="128" spans="1:2">
      <c r="A128">
        <v>-1.5999999999998999E-3</v>
      </c>
      <c r="B128" s="299">
        <f t="shared" si="1"/>
        <v>2.7204596482512913</v>
      </c>
    </row>
    <row r="129" spans="1:2">
      <c r="A129">
        <v>-1.6999999999998999E-3</v>
      </c>
      <c r="B129" s="299">
        <f t="shared" si="1"/>
        <v>2.7205959744565167</v>
      </c>
    </row>
  </sheetData>
  <phoneticPr fontId="5" type="noConversion"/>
  <pageMargins left="0.7" right="0.7" top="0.75" bottom="0.75" header="0.3" footer="0.3"/>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500-000000000000}">
  <dimension ref="A1"/>
  <sheetViews>
    <sheetView workbookViewId="0">
      <selection activeCell="J3" sqref="J3"/>
    </sheetView>
  </sheetViews>
  <sheetFormatPr defaultRowHeight="16.5"/>
  <sheetData/>
  <phoneticPr fontId="5" type="noConversion"/>
  <pageMargins left="0.7" right="0.7" top="0.75" bottom="0.75" header="0.3" footer="0.3"/>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600-000000000000}">
  <dimension ref="A2:Z13"/>
  <sheetViews>
    <sheetView zoomScale="175" zoomScaleNormal="175" workbookViewId="0">
      <selection activeCell="P13" sqref="P13"/>
    </sheetView>
  </sheetViews>
  <sheetFormatPr defaultRowHeight="16.5"/>
  <cols>
    <col min="2" max="9" width="2.75" customWidth="1"/>
    <col min="11" max="15" width="3.125" customWidth="1"/>
    <col min="16" max="20" width="2.875" customWidth="1"/>
    <col min="21" max="21" width="3" customWidth="1"/>
  </cols>
  <sheetData>
    <row r="2" spans="1:26">
      <c r="W2" t="s">
        <v>1114</v>
      </c>
    </row>
    <row r="3" spans="1:26" ht="22.5">
      <c r="B3" s="269" t="s">
        <v>1110</v>
      </c>
    </row>
    <row r="4" spans="1:26">
      <c r="K4" s="543" t="s">
        <v>1111</v>
      </c>
      <c r="L4" s="543"/>
      <c r="M4" s="543"/>
      <c r="N4" s="543"/>
      <c r="O4" s="543"/>
      <c r="P4" s="543"/>
      <c r="Q4" s="543"/>
      <c r="R4" s="543"/>
      <c r="S4" s="543"/>
      <c r="T4" s="543"/>
      <c r="U4" s="273" t="s">
        <v>1113</v>
      </c>
      <c r="Y4" s="516" t="s">
        <v>1119</v>
      </c>
      <c r="Z4" s="516"/>
    </row>
    <row r="5" spans="1:26">
      <c r="B5" s="3">
        <v>0</v>
      </c>
      <c r="C5" s="3">
        <v>1</v>
      </c>
      <c r="D5" s="3">
        <v>2</v>
      </c>
      <c r="E5" s="3">
        <v>3</v>
      </c>
      <c r="F5" s="3">
        <v>4</v>
      </c>
      <c r="G5" s="3">
        <v>5</v>
      </c>
      <c r="H5" s="3">
        <v>6</v>
      </c>
      <c r="I5" s="3">
        <v>7</v>
      </c>
      <c r="K5" s="268"/>
      <c r="L5" s="268"/>
      <c r="M5" s="268"/>
      <c r="N5" s="268"/>
      <c r="O5" s="268"/>
      <c r="Q5" s="554" t="s">
        <v>1112</v>
      </c>
      <c r="R5" s="554"/>
      <c r="S5" s="554"/>
      <c r="T5" s="554"/>
      <c r="U5" s="554"/>
      <c r="V5" s="554"/>
      <c r="Y5" s="276" t="s">
        <v>1120</v>
      </c>
      <c r="Z5" s="277" t="s">
        <v>1121</v>
      </c>
    </row>
    <row r="6" spans="1:26">
      <c r="A6" s="3">
        <v>0</v>
      </c>
      <c r="B6" s="270">
        <v>0</v>
      </c>
      <c r="C6" s="270">
        <v>0</v>
      </c>
      <c r="D6" s="270">
        <v>1</v>
      </c>
      <c r="E6" s="270">
        <v>1</v>
      </c>
      <c r="F6" s="270">
        <v>0</v>
      </c>
      <c r="G6" s="270">
        <v>0</v>
      </c>
      <c r="H6" s="270">
        <v>0</v>
      </c>
      <c r="I6" s="270">
        <v>0</v>
      </c>
      <c r="K6" s="275" t="s">
        <v>1115</v>
      </c>
      <c r="Q6" s="274">
        <v>0</v>
      </c>
      <c r="R6" s="274">
        <v>0</v>
      </c>
      <c r="S6" s="271">
        <v>8</v>
      </c>
      <c r="T6" s="271">
        <v>8</v>
      </c>
      <c r="U6" s="273">
        <f>COUNTIF($B$6:$I$13,0)</f>
        <v>40</v>
      </c>
      <c r="X6" t="s">
        <v>1123</v>
      </c>
      <c r="Y6">
        <v>3.6150000000000002</v>
      </c>
      <c r="Z6">
        <v>3.6920000000000002</v>
      </c>
    </row>
    <row r="7" spans="1:26">
      <c r="A7" s="3">
        <v>1</v>
      </c>
      <c r="B7" s="270">
        <v>1</v>
      </c>
      <c r="C7" s="270">
        <v>1</v>
      </c>
      <c r="D7" s="270">
        <v>1</v>
      </c>
      <c r="E7" s="270">
        <v>1</v>
      </c>
      <c r="F7" s="270">
        <v>0</v>
      </c>
      <c r="G7" s="270">
        <v>0</v>
      </c>
      <c r="H7" s="270">
        <v>2</v>
      </c>
      <c r="I7" s="270">
        <v>0</v>
      </c>
      <c r="K7" s="272" t="s">
        <v>1116</v>
      </c>
      <c r="Q7">
        <v>0</v>
      </c>
      <c r="R7">
        <v>0</v>
      </c>
      <c r="S7">
        <v>4</v>
      </c>
      <c r="T7">
        <v>3</v>
      </c>
      <c r="U7">
        <f>COUNTIF($B$6:$I$13,1)</f>
        <v>10</v>
      </c>
      <c r="X7" t="s">
        <v>1122</v>
      </c>
      <c r="Y7">
        <f xml:space="preserve"> (2+3+0+1+2+3+0+1+2+3) /U7</f>
        <v>1.7</v>
      </c>
      <c r="Z7">
        <f xml:space="preserve"> (1+2+1+2+0+1+2+0+1+2)/U7</f>
        <v>1.2</v>
      </c>
    </row>
    <row r="8" spans="1:26">
      <c r="A8" s="3">
        <v>2</v>
      </c>
      <c r="B8" s="270">
        <v>1</v>
      </c>
      <c r="C8" s="270">
        <v>1</v>
      </c>
      <c r="D8" s="270">
        <v>1</v>
      </c>
      <c r="E8" s="270">
        <v>1</v>
      </c>
      <c r="F8" s="270">
        <v>0</v>
      </c>
      <c r="G8" s="270">
        <v>0</v>
      </c>
      <c r="H8" s="270">
        <v>0</v>
      </c>
      <c r="I8" s="270">
        <v>0</v>
      </c>
      <c r="K8" s="272" t="s">
        <v>1117</v>
      </c>
      <c r="Q8">
        <v>6</v>
      </c>
      <c r="R8">
        <v>1</v>
      </c>
      <c r="S8">
        <v>1</v>
      </c>
      <c r="T8">
        <v>1</v>
      </c>
      <c r="U8">
        <f>COUNTIF($B$6:$I$13,2)</f>
        <v>1</v>
      </c>
      <c r="X8" t="s">
        <v>1124</v>
      </c>
      <c r="Y8">
        <v>6</v>
      </c>
      <c r="Z8">
        <v>1</v>
      </c>
    </row>
    <row r="9" spans="1:26">
      <c r="A9" s="3">
        <v>3</v>
      </c>
      <c r="B9" s="270">
        <v>0</v>
      </c>
      <c r="C9" s="270">
        <v>0</v>
      </c>
      <c r="D9" s="270">
        <v>0</v>
      </c>
      <c r="E9" s="270">
        <v>0</v>
      </c>
      <c r="F9" s="270">
        <v>0</v>
      </c>
      <c r="G9" s="270">
        <v>3</v>
      </c>
      <c r="H9" s="270">
        <v>3</v>
      </c>
      <c r="I9" s="270">
        <v>0</v>
      </c>
      <c r="K9" s="272" t="s">
        <v>1118</v>
      </c>
      <c r="Q9">
        <v>2</v>
      </c>
      <c r="R9">
        <v>3</v>
      </c>
      <c r="S9">
        <v>5</v>
      </c>
      <c r="T9">
        <v>4</v>
      </c>
      <c r="U9">
        <f>COUNTIF($B$6:$I$13,3)</f>
        <v>13</v>
      </c>
      <c r="X9" t="s">
        <v>1125</v>
      </c>
      <c r="Y9">
        <v>4.2850000000000001</v>
      </c>
      <c r="Z9">
        <v>4.7850000000000001</v>
      </c>
    </row>
    <row r="10" spans="1:26">
      <c r="A10" s="3">
        <v>4</v>
      </c>
      <c r="B10" s="270">
        <v>0</v>
      </c>
      <c r="C10" s="270">
        <v>0</v>
      </c>
      <c r="D10" s="270">
        <v>0</v>
      </c>
      <c r="E10" s="270">
        <v>3</v>
      </c>
      <c r="F10" s="270">
        <v>3</v>
      </c>
      <c r="G10" s="270">
        <v>3</v>
      </c>
      <c r="H10" s="270">
        <v>3</v>
      </c>
      <c r="I10" s="270">
        <v>0</v>
      </c>
    </row>
    <row r="11" spans="1:26">
      <c r="A11" s="3">
        <v>5</v>
      </c>
      <c r="B11" s="270">
        <v>0</v>
      </c>
      <c r="C11" s="270">
        <v>0</v>
      </c>
      <c r="D11" s="270">
        <v>0</v>
      </c>
      <c r="E11" s="270">
        <v>3</v>
      </c>
      <c r="F11" s="270">
        <v>0</v>
      </c>
      <c r="G11" s="270">
        <v>0</v>
      </c>
      <c r="H11" s="270">
        <v>3</v>
      </c>
      <c r="I11" s="270">
        <v>0</v>
      </c>
    </row>
    <row r="12" spans="1:26">
      <c r="A12" s="3">
        <v>6</v>
      </c>
      <c r="B12" s="270">
        <v>0</v>
      </c>
      <c r="C12" s="270">
        <v>0</v>
      </c>
      <c r="D12" s="270">
        <v>3</v>
      </c>
      <c r="E12" s="270">
        <v>3</v>
      </c>
      <c r="F12" s="270">
        <v>3</v>
      </c>
      <c r="G12" s="270">
        <v>3</v>
      </c>
      <c r="H12" s="270">
        <v>3</v>
      </c>
      <c r="I12" s="270">
        <v>0</v>
      </c>
    </row>
    <row r="13" spans="1:26">
      <c r="A13" s="3">
        <v>7</v>
      </c>
      <c r="B13" s="270">
        <v>0</v>
      </c>
      <c r="C13" s="270">
        <v>0</v>
      </c>
      <c r="D13" s="270">
        <v>0</v>
      </c>
      <c r="E13" s="270">
        <v>0</v>
      </c>
      <c r="F13" s="270">
        <v>0</v>
      </c>
      <c r="G13" s="270">
        <v>0</v>
      </c>
      <c r="H13" s="270">
        <v>0</v>
      </c>
      <c r="I13" s="270">
        <v>0</v>
      </c>
    </row>
  </sheetData>
  <mergeCells count="3">
    <mergeCell ref="Q5:V5"/>
    <mergeCell ref="Y4:Z4"/>
    <mergeCell ref="K4:T4"/>
  </mergeCells>
  <phoneticPr fontId="5" type="noConversion"/>
  <pageMargins left="0.7" right="0.7" top="0.75" bottom="0.75" header="0.3" footer="0.3"/>
  <pageSetup paperSize="9"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700-000000000000}">
  <dimension ref="B1:Z64"/>
  <sheetViews>
    <sheetView showGridLines="0" topLeftCell="A10" zoomScale="115" zoomScaleNormal="115" workbookViewId="0">
      <selection activeCell="B29" sqref="B29"/>
    </sheetView>
  </sheetViews>
  <sheetFormatPr defaultRowHeight="16.5"/>
  <cols>
    <col min="3" max="10" width="3" customWidth="1"/>
    <col min="12" max="18" width="3" customWidth="1"/>
    <col min="20" max="26" width="3.875" customWidth="1"/>
  </cols>
  <sheetData>
    <row r="1" spans="2:26" s="480" customFormat="1">
      <c r="B1" s="480" t="s">
        <v>2804</v>
      </c>
    </row>
    <row r="5" spans="2:26" s="480" customFormat="1">
      <c r="B5" s="480" t="s">
        <v>2803</v>
      </c>
    </row>
    <row r="6" spans="2:26" s="1" customFormat="1">
      <c r="B6" s="1" t="s">
        <v>2798</v>
      </c>
    </row>
    <row r="7" spans="2:26" s="119" customFormat="1">
      <c r="D7" s="543" t="s">
        <v>2799</v>
      </c>
      <c r="E7" s="543"/>
      <c r="F7" s="543"/>
      <c r="G7" s="543"/>
      <c r="H7" s="543"/>
      <c r="I7" s="543"/>
    </row>
    <row r="9" spans="2:26">
      <c r="C9" s="478"/>
      <c r="D9" s="478"/>
      <c r="E9" s="478"/>
      <c r="F9" s="478"/>
      <c r="G9" s="478"/>
      <c r="H9" s="478"/>
      <c r="I9" s="478"/>
      <c r="J9" s="478"/>
    </row>
    <row r="10" spans="2:26">
      <c r="C10" s="478"/>
      <c r="D10" s="478"/>
      <c r="E10" s="478"/>
      <c r="F10" s="478"/>
      <c r="G10" s="478"/>
      <c r="H10" s="478"/>
      <c r="I10" s="478"/>
      <c r="J10" s="478"/>
    </row>
    <row r="11" spans="2:26" ht="17.25" thickBot="1">
      <c r="C11" s="478"/>
      <c r="D11" s="478"/>
      <c r="E11" s="478"/>
      <c r="F11" s="478"/>
      <c r="G11" s="478"/>
      <c r="H11" s="478"/>
      <c r="I11" s="478"/>
      <c r="J11" s="478"/>
      <c r="K11" t="s">
        <v>2800</v>
      </c>
    </row>
    <row r="12" spans="2:26">
      <c r="C12" s="478"/>
      <c r="D12" s="478"/>
      <c r="E12" s="478"/>
      <c r="F12" s="478"/>
      <c r="G12" s="478"/>
      <c r="H12" s="478"/>
      <c r="I12" s="478"/>
      <c r="J12" s="478"/>
      <c r="L12" s="478"/>
      <c r="M12" s="478"/>
      <c r="N12" s="478"/>
      <c r="O12" s="478"/>
      <c r="P12" s="478"/>
      <c r="Q12" s="478"/>
      <c r="R12" s="478"/>
      <c r="T12" s="555">
        <v>0.85</v>
      </c>
      <c r="U12" s="556"/>
      <c r="V12" s="557"/>
      <c r="W12" s="555">
        <v>0.84</v>
      </c>
      <c r="X12" s="556"/>
      <c r="Y12" s="556"/>
      <c r="Z12" s="557"/>
    </row>
    <row r="13" spans="2:26" ht="17.25" thickBot="1">
      <c r="C13" s="478"/>
      <c r="D13" s="478"/>
      <c r="E13" s="478"/>
      <c r="F13" s="478"/>
      <c r="G13" s="478"/>
      <c r="H13" s="478"/>
      <c r="I13" s="478"/>
      <c r="J13" s="478"/>
      <c r="L13" s="478"/>
      <c r="M13" s="478"/>
      <c r="N13" s="478"/>
      <c r="O13" s="478"/>
      <c r="P13" s="478"/>
      <c r="Q13" s="478"/>
      <c r="R13" s="478"/>
      <c r="T13" s="558"/>
      <c r="U13" s="559"/>
      <c r="V13" s="560"/>
      <c r="W13" s="558"/>
      <c r="X13" s="559"/>
      <c r="Y13" s="559"/>
      <c r="Z13" s="560"/>
    </row>
    <row r="14" spans="2:26">
      <c r="C14" s="478"/>
      <c r="D14" s="478"/>
      <c r="E14" s="478"/>
      <c r="F14" s="478"/>
      <c r="G14" s="478"/>
      <c r="H14" s="478"/>
      <c r="I14" s="478"/>
      <c r="J14" s="478"/>
      <c r="L14" s="478"/>
      <c r="M14" s="478"/>
      <c r="N14" s="478"/>
      <c r="O14" s="478"/>
      <c r="P14" s="478"/>
      <c r="Q14" s="478"/>
      <c r="R14" s="478"/>
      <c r="S14" t="s">
        <v>2802</v>
      </c>
      <c r="T14" s="555">
        <v>0.97</v>
      </c>
      <c r="U14" s="556"/>
      <c r="V14" s="557"/>
      <c r="W14" s="555">
        <v>0.96</v>
      </c>
      <c r="X14" s="556"/>
      <c r="Y14" s="556"/>
      <c r="Z14" s="557"/>
    </row>
    <row r="15" spans="2:26">
      <c r="C15" s="478"/>
      <c r="D15" s="478"/>
      <c r="E15" s="478"/>
      <c r="F15" s="478"/>
      <c r="G15" s="478"/>
      <c r="H15" s="478"/>
      <c r="I15" s="478"/>
      <c r="J15" s="478"/>
      <c r="L15" s="478"/>
      <c r="M15" s="478"/>
      <c r="N15" s="478"/>
      <c r="O15" s="478"/>
      <c r="P15" s="478"/>
      <c r="Q15" s="478"/>
      <c r="R15" s="478"/>
      <c r="T15" s="561"/>
      <c r="U15" s="562"/>
      <c r="V15" s="563"/>
      <c r="W15" s="561"/>
      <c r="X15" s="562"/>
      <c r="Y15" s="562"/>
      <c r="Z15" s="563"/>
    </row>
    <row r="16" spans="2:26" ht="17.25" thickBot="1">
      <c r="C16" s="478"/>
      <c r="D16" s="478"/>
      <c r="E16" s="478"/>
      <c r="F16" s="478"/>
      <c r="G16" s="478"/>
      <c r="H16" s="478"/>
      <c r="I16" s="478"/>
      <c r="J16" s="478"/>
      <c r="L16" s="478"/>
      <c r="M16" s="478"/>
      <c r="N16" s="478"/>
      <c r="O16" s="478"/>
      <c r="P16" s="478"/>
      <c r="Q16" s="478"/>
      <c r="R16" s="478"/>
      <c r="T16" s="558"/>
      <c r="U16" s="559"/>
      <c r="V16" s="560"/>
      <c r="W16" s="558"/>
      <c r="X16" s="559"/>
      <c r="Y16" s="559"/>
      <c r="Z16" s="560"/>
    </row>
    <row r="17" spans="2:21">
      <c r="T17" s="12"/>
      <c r="U17" s="479"/>
    </row>
    <row r="18" spans="2:21">
      <c r="M18" s="516" t="s">
        <v>2801</v>
      </c>
      <c r="N18" s="516"/>
      <c r="O18" s="516"/>
      <c r="P18" s="516"/>
      <c r="Q18" s="516"/>
    </row>
    <row r="20" spans="2:21" s="480" customFormat="1">
      <c r="B20" s="480" t="s">
        <v>2805</v>
      </c>
    </row>
    <row r="22" spans="2:21">
      <c r="C22" s="480" t="s">
        <v>2803</v>
      </c>
      <c r="G22" t="s">
        <v>2806</v>
      </c>
    </row>
    <row r="52" spans="19:19">
      <c r="S52" s="292" t="s">
        <v>2807</v>
      </c>
    </row>
    <row r="53" spans="19:19">
      <c r="S53" s="294" t="s">
        <v>2808</v>
      </c>
    </row>
    <row r="54" spans="19:19">
      <c r="S54" s="129"/>
    </row>
    <row r="55" spans="19:19">
      <c r="S55" s="294" t="s">
        <v>2809</v>
      </c>
    </row>
    <row r="56" spans="19:19">
      <c r="S56" s="129"/>
    </row>
    <row r="57" spans="19:19">
      <c r="S57" s="294" t="s">
        <v>2810</v>
      </c>
    </row>
    <row r="59" spans="19:19">
      <c r="S59" s="293" t="s">
        <v>2811</v>
      </c>
    </row>
    <row r="60" spans="19:19">
      <c r="S60" s="294" t="s">
        <v>2812</v>
      </c>
    </row>
    <row r="61" spans="19:19">
      <c r="S61" s="294" t="s">
        <v>2813</v>
      </c>
    </row>
    <row r="62" spans="19:19">
      <c r="S62" s="294" t="s">
        <v>2814</v>
      </c>
    </row>
    <row r="63" spans="19:19">
      <c r="S63" s="294" t="s">
        <v>2815</v>
      </c>
    </row>
    <row r="64" spans="19:19">
      <c r="S64" s="292" t="s">
        <v>2816</v>
      </c>
    </row>
  </sheetData>
  <mergeCells count="6">
    <mergeCell ref="D7:I7"/>
    <mergeCell ref="M18:Q18"/>
    <mergeCell ref="T12:V13"/>
    <mergeCell ref="W12:Z13"/>
    <mergeCell ref="T14:V16"/>
    <mergeCell ref="W14:Z16"/>
  </mergeCells>
  <phoneticPr fontId="5" type="noConversion"/>
  <pageMargins left="0.7" right="0.7" top="0.75" bottom="0.75" header="0.3" footer="0.3"/>
  <drawing r:id="rId1"/>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800-000000000000}">
  <dimension ref="P7:S12"/>
  <sheetViews>
    <sheetView topLeftCell="A4" zoomScale="70" zoomScaleNormal="70" workbookViewId="0">
      <selection activeCell="S11" sqref="S11:S12"/>
    </sheetView>
  </sheetViews>
  <sheetFormatPr defaultRowHeight="16.5"/>
  <cols>
    <col min="19" max="19" width="11" bestFit="1" customWidth="1"/>
  </cols>
  <sheetData>
    <row r="7" spans="16:19">
      <c r="P7" t="s">
        <v>2817</v>
      </c>
      <c r="R7">
        <v>30</v>
      </c>
      <c r="S7" t="s">
        <v>2818</v>
      </c>
    </row>
    <row r="8" spans="16:19">
      <c r="P8" t="s">
        <v>2819</v>
      </c>
      <c r="R8">
        <v>70</v>
      </c>
      <c r="S8" t="s">
        <v>2818</v>
      </c>
    </row>
    <row r="11" spans="16:19">
      <c r="Q11" s="518" t="s">
        <v>2820</v>
      </c>
      <c r="R11">
        <f>R7</f>
        <v>30</v>
      </c>
      <c r="S11" s="564">
        <f>R11/R12</f>
        <v>0.42857142857142855</v>
      </c>
    </row>
    <row r="12" spans="16:19">
      <c r="Q12" s="518"/>
      <c r="R12">
        <f>R8</f>
        <v>70</v>
      </c>
      <c r="S12" s="564"/>
    </row>
  </sheetData>
  <mergeCells count="2">
    <mergeCell ref="Q11:Q12"/>
    <mergeCell ref="S11:S12"/>
  </mergeCells>
  <phoneticPr fontId="5" type="noConversion"/>
  <pageMargins left="0.7" right="0.7" top="0.75" bottom="0.75" header="0.3" footer="0.3"/>
  <drawing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900-000000000000}">
  <dimension ref="A2:T21"/>
  <sheetViews>
    <sheetView zoomScaleNormal="100" workbookViewId="0">
      <selection activeCell="W19" sqref="W19"/>
    </sheetView>
  </sheetViews>
  <sheetFormatPr defaultRowHeight="16.5"/>
  <cols>
    <col min="2" max="7" width="3.625" customWidth="1"/>
    <col min="9" max="14" width="2.875" customWidth="1"/>
  </cols>
  <sheetData>
    <row r="2" spans="1:19">
      <c r="P2" t="s">
        <v>2825</v>
      </c>
      <c r="Q2">
        <f>COUNTIF($B$6:$G$11,0)</f>
        <v>15</v>
      </c>
    </row>
    <row r="3" spans="1:19">
      <c r="P3" t="s">
        <v>2826</v>
      </c>
      <c r="Q3">
        <f>COUNTIF($B$6:$G$11,1)</f>
        <v>7</v>
      </c>
    </row>
    <row r="4" spans="1:19">
      <c r="C4" s="516" t="s">
        <v>2827</v>
      </c>
      <c r="D4" s="516"/>
      <c r="E4" s="516"/>
      <c r="I4" s="516" t="s">
        <v>2828</v>
      </c>
      <c r="J4" s="516"/>
      <c r="K4" s="516"/>
      <c r="L4" s="516"/>
      <c r="M4" s="516"/>
      <c r="N4" s="516"/>
      <c r="P4" t="s">
        <v>2829</v>
      </c>
      <c r="Q4">
        <f>COUNTIF($B$6:$G$11,2)</f>
        <v>14</v>
      </c>
    </row>
    <row r="5" spans="1:19" ht="17.25" thickBot="1"/>
    <row r="6" spans="1:19" ht="17.25" thickBot="1">
      <c r="A6">
        <v>6</v>
      </c>
      <c r="B6" s="481">
        <v>0</v>
      </c>
      <c r="C6" s="481">
        <v>0</v>
      </c>
      <c r="D6" s="481">
        <v>0</v>
      </c>
      <c r="E6" s="481">
        <v>0</v>
      </c>
      <c r="F6" s="481">
        <v>0</v>
      </c>
      <c r="G6" s="481">
        <v>0</v>
      </c>
      <c r="I6" s="482"/>
      <c r="J6" s="482"/>
      <c r="K6" s="482"/>
      <c r="L6" s="482"/>
      <c r="M6" s="482"/>
      <c r="N6" s="482"/>
    </row>
    <row r="7" spans="1:19" ht="17.25" thickBot="1">
      <c r="A7">
        <v>2</v>
      </c>
      <c r="B7" s="481">
        <v>0</v>
      </c>
      <c r="C7" s="483">
        <v>2</v>
      </c>
      <c r="D7" s="483">
        <v>2</v>
      </c>
      <c r="E7" s="483">
        <v>2</v>
      </c>
      <c r="F7" s="484">
        <v>0</v>
      </c>
      <c r="G7" s="481">
        <v>0</v>
      </c>
      <c r="I7" s="482"/>
      <c r="J7" s="485">
        <v>2</v>
      </c>
      <c r="K7" s="485">
        <v>2</v>
      </c>
      <c r="L7" s="485">
        <v>2</v>
      </c>
      <c r="M7" s="485">
        <v>2</v>
      </c>
      <c r="N7" s="482"/>
      <c r="P7" s="518" t="s">
        <v>2830</v>
      </c>
      <c r="Q7">
        <f>COUNTIF($I$14:$N$19,2)</f>
        <v>10</v>
      </c>
      <c r="R7" s="564">
        <f>Q7/Q8</f>
        <v>0.58823529411764708</v>
      </c>
    </row>
    <row r="8" spans="1:19" ht="17.25" thickBot="1">
      <c r="A8">
        <v>1</v>
      </c>
      <c r="B8" s="483">
        <v>2</v>
      </c>
      <c r="C8" s="483">
        <v>2</v>
      </c>
      <c r="D8" s="483">
        <v>2</v>
      </c>
      <c r="E8" s="483">
        <v>2</v>
      </c>
      <c r="F8" s="486">
        <v>1</v>
      </c>
      <c r="G8" s="481">
        <v>0</v>
      </c>
      <c r="I8" s="485">
        <v>2</v>
      </c>
      <c r="J8" s="485">
        <v>2</v>
      </c>
      <c r="K8" s="485">
        <v>2</v>
      </c>
      <c r="L8" s="485">
        <v>2</v>
      </c>
      <c r="M8" s="485">
        <v>2</v>
      </c>
      <c r="N8" s="482"/>
      <c r="P8" s="518"/>
      <c r="Q8">
        <f>COUNTIF($I$6:$N$11,2)</f>
        <v>17</v>
      </c>
      <c r="R8" s="564"/>
    </row>
    <row r="9" spans="1:19" ht="17.25" thickBot="1">
      <c r="A9">
        <v>1</v>
      </c>
      <c r="B9" s="483">
        <v>2</v>
      </c>
      <c r="C9" s="483">
        <v>2</v>
      </c>
      <c r="D9" s="483">
        <v>2</v>
      </c>
      <c r="E9" s="486">
        <v>1</v>
      </c>
      <c r="F9" s="486">
        <v>1</v>
      </c>
      <c r="G9" s="481">
        <v>0</v>
      </c>
      <c r="I9" s="485">
        <v>2</v>
      </c>
      <c r="J9" s="485">
        <v>2</v>
      </c>
      <c r="K9" s="485">
        <v>2</v>
      </c>
      <c r="L9" s="482"/>
      <c r="M9" s="482"/>
      <c r="N9" s="482"/>
    </row>
    <row r="10" spans="1:19" ht="17.25" thickBot="1">
      <c r="A10">
        <v>2</v>
      </c>
      <c r="B10" s="481">
        <v>0</v>
      </c>
      <c r="C10" s="483">
        <v>2</v>
      </c>
      <c r="D10" s="483">
        <v>2</v>
      </c>
      <c r="E10" s="486">
        <v>1</v>
      </c>
      <c r="F10" s="486">
        <v>1</v>
      </c>
      <c r="G10" s="481">
        <v>0</v>
      </c>
      <c r="I10" s="482"/>
      <c r="J10" s="485">
        <v>2</v>
      </c>
      <c r="K10" s="485">
        <v>2</v>
      </c>
      <c r="L10" s="482"/>
      <c r="M10" s="482"/>
      <c r="N10" s="482"/>
    </row>
    <row r="11" spans="1:19" ht="17.25" thickBot="1">
      <c r="A11">
        <v>2</v>
      </c>
      <c r="B11" s="481">
        <v>0</v>
      </c>
      <c r="C11" s="483">
        <v>2</v>
      </c>
      <c r="D11" s="483">
        <v>2</v>
      </c>
      <c r="E11" s="486">
        <v>1</v>
      </c>
      <c r="F11" s="486">
        <v>1</v>
      </c>
      <c r="G11" s="481">
        <v>0</v>
      </c>
      <c r="I11" s="482"/>
      <c r="J11" s="485">
        <v>2</v>
      </c>
      <c r="K11" s="485">
        <v>2</v>
      </c>
      <c r="L11" s="485">
        <v>2</v>
      </c>
      <c r="M11" s="482"/>
      <c r="N11" s="482"/>
    </row>
    <row r="12" spans="1:19">
      <c r="I12" s="516"/>
      <c r="J12" s="516"/>
      <c r="K12" s="516"/>
      <c r="L12" s="516"/>
      <c r="M12" s="516"/>
      <c r="N12" s="516"/>
    </row>
    <row r="13" spans="1:19" ht="17.25" thickBot="1">
      <c r="C13" s="516" t="s">
        <v>235</v>
      </c>
      <c r="D13" s="516"/>
      <c r="E13" s="516"/>
      <c r="P13" s="518" t="s">
        <v>2831</v>
      </c>
      <c r="Q13">
        <v>29</v>
      </c>
      <c r="R13" s="564">
        <f>Q13/Q14</f>
        <v>0.80555555555555558</v>
      </c>
      <c r="S13" t="s">
        <v>2832</v>
      </c>
    </row>
    <row r="14" spans="1:19" ht="17.25" thickBot="1">
      <c r="I14" s="487"/>
      <c r="J14" s="487"/>
      <c r="K14" s="487"/>
      <c r="L14" s="487"/>
      <c r="M14" s="487"/>
      <c r="N14" s="487"/>
      <c r="P14" s="518"/>
      <c r="Q14">
        <v>36</v>
      </c>
      <c r="R14" s="564"/>
      <c r="S14" t="s">
        <v>2833</v>
      </c>
    </row>
    <row r="15" spans="1:19" ht="17.25" thickBot="1">
      <c r="B15" s="488">
        <v>0</v>
      </c>
      <c r="C15" s="488">
        <v>0</v>
      </c>
      <c r="D15" s="488">
        <v>0</v>
      </c>
      <c r="E15" s="488">
        <v>0</v>
      </c>
      <c r="F15" s="488">
        <v>0</v>
      </c>
      <c r="G15" s="488">
        <v>0</v>
      </c>
      <c r="I15" s="487"/>
      <c r="J15" s="485">
        <v>2</v>
      </c>
      <c r="K15" s="485">
        <v>2</v>
      </c>
      <c r="L15" s="485">
        <v>2</v>
      </c>
      <c r="M15" s="487"/>
      <c r="N15" s="487"/>
    </row>
    <row r="16" spans="1:19" ht="17.25" thickBot="1">
      <c r="B16" s="489">
        <v>0</v>
      </c>
      <c r="C16" s="483">
        <v>2</v>
      </c>
      <c r="D16" s="483">
        <v>2</v>
      </c>
      <c r="E16" s="483">
        <v>2</v>
      </c>
      <c r="F16" s="483">
        <v>2</v>
      </c>
      <c r="G16" s="489">
        <v>0</v>
      </c>
      <c r="I16" s="487"/>
      <c r="J16" s="485">
        <v>2</v>
      </c>
      <c r="K16" s="485">
        <v>2</v>
      </c>
      <c r="L16" s="487"/>
      <c r="M16" s="487"/>
      <c r="N16" s="487"/>
      <c r="Q16">
        <v>0</v>
      </c>
      <c r="R16">
        <v>1</v>
      </c>
      <c r="S16">
        <v>2</v>
      </c>
    </row>
    <row r="17" spans="2:20" ht="17.25" thickBot="1">
      <c r="B17" s="489">
        <v>0</v>
      </c>
      <c r="C17" s="483">
        <v>2</v>
      </c>
      <c r="D17" s="483">
        <v>2</v>
      </c>
      <c r="E17" s="486">
        <v>1</v>
      </c>
      <c r="F17" s="483">
        <v>2</v>
      </c>
      <c r="G17" s="489">
        <v>0</v>
      </c>
      <c r="I17" s="487"/>
      <c r="J17" s="485">
        <v>2</v>
      </c>
      <c r="K17" s="485">
        <v>2</v>
      </c>
      <c r="L17" s="487"/>
      <c r="M17" s="487"/>
      <c r="N17" s="487"/>
      <c r="P17" s="518" t="s">
        <v>2834</v>
      </c>
      <c r="Q17">
        <v>14</v>
      </c>
      <c r="R17">
        <v>5</v>
      </c>
      <c r="S17">
        <v>10</v>
      </c>
      <c r="T17" s="564">
        <f>((Q17/Q18)+(R17/R18)+(S17/S18))/3</f>
        <v>0.78730158730158728</v>
      </c>
    </row>
    <row r="18" spans="2:20" ht="17.25" thickBot="1">
      <c r="B18" s="489">
        <v>0</v>
      </c>
      <c r="C18" s="483">
        <v>2</v>
      </c>
      <c r="D18" s="483">
        <v>2</v>
      </c>
      <c r="E18" s="486">
        <v>1</v>
      </c>
      <c r="F18" s="486">
        <v>1</v>
      </c>
      <c r="G18" s="489">
        <v>0</v>
      </c>
      <c r="I18" s="487"/>
      <c r="J18" s="485">
        <v>2</v>
      </c>
      <c r="K18" s="485">
        <v>2</v>
      </c>
      <c r="L18" s="487"/>
      <c r="M18" s="487"/>
      <c r="N18" s="487"/>
      <c r="P18" s="518"/>
      <c r="Q18">
        <f>Q2</f>
        <v>15</v>
      </c>
      <c r="R18">
        <f>Q3</f>
        <v>7</v>
      </c>
      <c r="S18">
        <f>Q4</f>
        <v>14</v>
      </c>
      <c r="T18" s="564"/>
    </row>
    <row r="19" spans="2:20" ht="17.25" thickBot="1">
      <c r="B19" s="489">
        <v>0</v>
      </c>
      <c r="C19" s="483">
        <v>2</v>
      </c>
      <c r="D19" s="483">
        <v>2</v>
      </c>
      <c r="E19" s="486">
        <v>1</v>
      </c>
      <c r="F19" s="486">
        <v>1</v>
      </c>
      <c r="G19" s="489">
        <v>0</v>
      </c>
      <c r="I19" s="487"/>
      <c r="J19" s="487"/>
      <c r="K19" s="485">
        <v>2</v>
      </c>
      <c r="L19" s="487"/>
      <c r="M19" s="487"/>
      <c r="N19" s="487"/>
    </row>
    <row r="20" spans="2:20" ht="17.25" thickBot="1">
      <c r="B20" s="489">
        <v>0</v>
      </c>
      <c r="C20" s="489">
        <v>0</v>
      </c>
      <c r="D20" s="483">
        <v>2</v>
      </c>
      <c r="E20" s="483">
        <v>2</v>
      </c>
      <c r="F20" s="486">
        <v>1</v>
      </c>
      <c r="G20" s="489">
        <v>0</v>
      </c>
      <c r="P20" s="518" t="s">
        <v>2835</v>
      </c>
      <c r="Q20">
        <f>2*Q7</f>
        <v>20</v>
      </c>
      <c r="R20" s="564">
        <f>Q20/Q21</f>
        <v>0.7407407407407407</v>
      </c>
    </row>
    <row r="21" spans="2:20">
      <c r="P21" s="518"/>
      <c r="Q21">
        <f>COUNTIF($B$6:$G$11,2)+COUNTIF($B$15:$G$20,2)</f>
        <v>27</v>
      </c>
      <c r="R21" s="564"/>
    </row>
  </sheetData>
  <mergeCells count="12">
    <mergeCell ref="P17:P18"/>
    <mergeCell ref="T17:T18"/>
    <mergeCell ref="P20:P21"/>
    <mergeCell ref="R20:R21"/>
    <mergeCell ref="C4:E4"/>
    <mergeCell ref="I4:N4"/>
    <mergeCell ref="P7:P8"/>
    <mergeCell ref="R7:R8"/>
    <mergeCell ref="I12:N12"/>
    <mergeCell ref="C13:E13"/>
    <mergeCell ref="P13:P14"/>
    <mergeCell ref="R13:R14"/>
  </mergeCells>
  <phoneticPr fontId="5" type="noConversion"/>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A00-000000000000}">
  <dimension ref="A1:BD161"/>
  <sheetViews>
    <sheetView showGridLines="0" topLeftCell="A194" zoomScale="130" zoomScaleNormal="130" workbookViewId="0">
      <selection activeCell="A212" sqref="A212"/>
    </sheetView>
  </sheetViews>
  <sheetFormatPr defaultRowHeight="16.5"/>
  <cols>
    <col min="2" max="2" width="10.875" customWidth="1"/>
    <col min="15" max="21" width="3.75" customWidth="1"/>
    <col min="23" max="25" width="3.5" customWidth="1"/>
    <col min="26" max="28" width="4.125" customWidth="1"/>
    <col min="30" max="34" width="4.125" customWidth="1"/>
    <col min="38" max="46" width="3.5" customWidth="1"/>
    <col min="50" max="56" width="4.125" customWidth="1"/>
  </cols>
  <sheetData>
    <row r="1" spans="1:18" ht="17.25" thickBot="1">
      <c r="A1">
        <v>1</v>
      </c>
      <c r="B1">
        <v>2</v>
      </c>
      <c r="D1">
        <v>1</v>
      </c>
      <c r="E1">
        <v>0</v>
      </c>
      <c r="F1" s="487">
        <f>J1</f>
        <v>1</v>
      </c>
      <c r="G1" s="487">
        <f>O1</f>
        <v>2</v>
      </c>
      <c r="H1" s="487">
        <v>0</v>
      </c>
      <c r="J1">
        <f>$A$1*D1</f>
        <v>1</v>
      </c>
      <c r="K1">
        <f t="shared" ref="K1" si="0">$A$1*E1</f>
        <v>0</v>
      </c>
      <c r="L1" s="1">
        <v>0</v>
      </c>
      <c r="M1" s="119"/>
      <c r="N1" s="1">
        <v>0</v>
      </c>
      <c r="O1" s="119">
        <f t="shared" ref="O1:P3" si="1">$B$1*D1</f>
        <v>2</v>
      </c>
      <c r="P1" s="119">
        <f t="shared" si="1"/>
        <v>0</v>
      </c>
      <c r="Q1" s="119"/>
      <c r="R1" s="119"/>
    </row>
    <row r="2" spans="1:18" ht="17.25" thickBot="1">
      <c r="A2">
        <v>3</v>
      </c>
      <c r="B2">
        <v>4</v>
      </c>
      <c r="D2">
        <v>0</v>
      </c>
      <c r="E2">
        <v>1</v>
      </c>
      <c r="F2" s="487">
        <f>J6</f>
        <v>3</v>
      </c>
      <c r="G2" s="487">
        <f>K2+O6</f>
        <v>5</v>
      </c>
      <c r="H2" s="487">
        <f>P2</f>
        <v>2</v>
      </c>
      <c r="J2">
        <f t="shared" ref="J2:J3" si="2">$A$1*D2</f>
        <v>0</v>
      </c>
      <c r="K2">
        <f t="shared" ref="K2:K3" si="3">$A$1*E2</f>
        <v>1</v>
      </c>
      <c r="L2" s="1">
        <v>0</v>
      </c>
      <c r="M2" s="119"/>
      <c r="N2" s="1">
        <v>0</v>
      </c>
      <c r="O2" s="119">
        <f t="shared" si="1"/>
        <v>0</v>
      </c>
      <c r="P2" s="119">
        <f t="shared" si="1"/>
        <v>2</v>
      </c>
      <c r="Q2" s="119"/>
      <c r="R2" s="119"/>
    </row>
    <row r="3" spans="1:18" ht="17.25" thickBot="1">
      <c r="F3" s="487">
        <v>0</v>
      </c>
      <c r="G3" s="487">
        <f>K7</f>
        <v>3</v>
      </c>
      <c r="H3" s="487">
        <f>P7</f>
        <v>4</v>
      </c>
      <c r="I3" s="12"/>
      <c r="J3" s="1">
        <f t="shared" si="2"/>
        <v>0</v>
      </c>
      <c r="K3" s="1">
        <f t="shared" si="3"/>
        <v>0</v>
      </c>
      <c r="L3" s="1">
        <f t="shared" ref="L3" si="4">$A$1*F3</f>
        <v>0</v>
      </c>
      <c r="M3" s="119"/>
      <c r="N3" s="1">
        <v>0</v>
      </c>
      <c r="O3" s="1">
        <f t="shared" si="1"/>
        <v>0</v>
      </c>
      <c r="P3" s="1">
        <f t="shared" si="1"/>
        <v>0</v>
      </c>
      <c r="Q3" s="119"/>
      <c r="R3" s="119"/>
    </row>
    <row r="4" spans="1:18" s="119" customFormat="1" ht="17.25" thickBot="1">
      <c r="F4" s="153"/>
      <c r="G4" s="153"/>
      <c r="H4" s="492"/>
      <c r="I4" s="152"/>
    </row>
    <row r="5" spans="1:18">
      <c r="H5" s="493"/>
      <c r="I5" s="494"/>
      <c r="J5" s="495"/>
      <c r="K5" s="1"/>
      <c r="L5" s="1"/>
      <c r="N5" s="1"/>
      <c r="O5" s="1"/>
      <c r="P5" s="1"/>
      <c r="Q5" s="119"/>
    </row>
    <row r="6" spans="1:18">
      <c r="J6">
        <f>$A$2*D1</f>
        <v>3</v>
      </c>
      <c r="K6">
        <f t="shared" ref="K6" si="5">$A$2*E1</f>
        <v>0</v>
      </c>
      <c r="L6" s="1"/>
      <c r="N6" s="1"/>
      <c r="O6">
        <f>$B$2*D1</f>
        <v>4</v>
      </c>
      <c r="P6">
        <f t="shared" ref="P6" si="6">$B$2*E1</f>
        <v>0</v>
      </c>
    </row>
    <row r="7" spans="1:18" ht="26.25">
      <c r="D7" s="490" t="s">
        <v>2847</v>
      </c>
      <c r="J7">
        <f t="shared" ref="J7" si="7">$A$2*D2</f>
        <v>0</v>
      </c>
      <c r="K7">
        <f t="shared" ref="K7" si="8">$A$2*E2</f>
        <v>3</v>
      </c>
      <c r="L7" s="1"/>
      <c r="N7" s="1"/>
      <c r="O7">
        <f t="shared" ref="O7" si="9">$B$2*D2</f>
        <v>0</v>
      </c>
      <c r="P7">
        <f t="shared" ref="P7" si="10">$B$2*E2</f>
        <v>4</v>
      </c>
    </row>
    <row r="8" spans="1:18">
      <c r="D8" s="129"/>
    </row>
    <row r="9" spans="1:18">
      <c r="D9" s="129" t="s">
        <v>2844</v>
      </c>
    </row>
    <row r="10" spans="1:18">
      <c r="D10" s="150" t="s">
        <v>2845</v>
      </c>
    </row>
    <row r="13" spans="1:18">
      <c r="B13" s="4" t="s">
        <v>2846</v>
      </c>
    </row>
    <row r="18" spans="2:9">
      <c r="B18" t="s">
        <v>2843</v>
      </c>
    </row>
    <row r="22" spans="2:9" ht="26.25">
      <c r="B22" s="490" t="s">
        <v>2836</v>
      </c>
    </row>
    <row r="23" spans="2:9">
      <c r="B23" s="129"/>
    </row>
    <row r="24" spans="2:9">
      <c r="B24" s="129" t="s">
        <v>2837</v>
      </c>
    </row>
    <row r="25" spans="2:9">
      <c r="B25" s="129"/>
    </row>
    <row r="26" spans="2:9">
      <c r="B26" s="129" t="s">
        <v>2838</v>
      </c>
    </row>
    <row r="27" spans="2:9">
      <c r="B27" s="129"/>
    </row>
    <row r="28" spans="2:9">
      <c r="B28" s="129" t="s">
        <v>2839</v>
      </c>
    </row>
    <row r="29" spans="2:9">
      <c r="H29" t="s">
        <v>2840</v>
      </c>
      <c r="I29">
        <v>1</v>
      </c>
    </row>
    <row r="30" spans="2:9">
      <c r="H30" t="s">
        <v>2841</v>
      </c>
      <c r="I30" t="s">
        <v>2842</v>
      </c>
    </row>
    <row r="34" spans="1:9" s="491" customFormat="1">
      <c r="B34" s="491" t="s">
        <v>2866</v>
      </c>
    </row>
    <row r="35" spans="1:9">
      <c r="B35" s="516" t="s">
        <v>2867</v>
      </c>
      <c r="C35" s="516"/>
      <c r="E35" s="516" t="s">
        <v>2622</v>
      </c>
      <c r="F35" s="516"/>
    </row>
    <row r="36" spans="1:9">
      <c r="B36" s="476">
        <v>1</v>
      </c>
      <c r="C36" s="476">
        <v>2</v>
      </c>
      <c r="D36" s="476"/>
      <c r="E36" s="476">
        <v>1</v>
      </c>
      <c r="F36" s="476">
        <v>0</v>
      </c>
    </row>
    <row r="37" spans="1:9">
      <c r="B37" s="476">
        <v>3</v>
      </c>
      <c r="C37" s="476">
        <v>4</v>
      </c>
      <c r="D37" s="476"/>
      <c r="E37" s="476">
        <v>0</v>
      </c>
      <c r="F37" s="476">
        <v>1</v>
      </c>
    </row>
    <row r="39" spans="1:9">
      <c r="B39" t="s">
        <v>2873</v>
      </c>
      <c r="C39">
        <v>1</v>
      </c>
    </row>
    <row r="41" spans="1:9">
      <c r="A41" s="445" t="s">
        <v>2868</v>
      </c>
      <c r="E41" s="445" t="s">
        <v>2874</v>
      </c>
    </row>
    <row r="42" spans="1:9">
      <c r="A42" s="445" t="s">
        <v>2869</v>
      </c>
      <c r="E42" s="445" t="s">
        <v>2875</v>
      </c>
    </row>
    <row r="44" spans="1:9">
      <c r="A44" t="s">
        <v>2870</v>
      </c>
      <c r="E44" s="445" t="s">
        <v>2876</v>
      </c>
    </row>
    <row r="45" spans="1:9">
      <c r="A45" s="86" t="s">
        <v>2871</v>
      </c>
      <c r="B45" s="476">
        <v>2</v>
      </c>
      <c r="C45" s="476">
        <v>2</v>
      </c>
      <c r="D45" t="s">
        <v>2872</v>
      </c>
      <c r="F45" s="86" t="s">
        <v>2871</v>
      </c>
      <c r="G45" s="476">
        <v>2</v>
      </c>
      <c r="H45" s="476">
        <v>2</v>
      </c>
      <c r="I45" t="s">
        <v>2872</v>
      </c>
    </row>
    <row r="47" spans="1:9">
      <c r="B47" t="s">
        <v>2877</v>
      </c>
      <c r="C47">
        <f>(B45-1)*C39+G45</f>
        <v>3</v>
      </c>
    </row>
    <row r="48" spans="1:9">
      <c r="B48" t="s">
        <v>2878</v>
      </c>
      <c r="C48">
        <f>(C45-1)*C39+H45</f>
        <v>3</v>
      </c>
    </row>
    <row r="51" spans="2:8">
      <c r="D51" s="89">
        <v>0</v>
      </c>
      <c r="E51" s="89">
        <v>0</v>
      </c>
      <c r="F51" s="89">
        <v>0</v>
      </c>
    </row>
    <row r="52" spans="2:8">
      <c r="D52" s="89">
        <v>0</v>
      </c>
      <c r="E52" s="89">
        <v>0</v>
      </c>
      <c r="F52" s="89">
        <v>0</v>
      </c>
    </row>
    <row r="53" spans="2:8">
      <c r="D53" s="89">
        <v>0</v>
      </c>
      <c r="E53" s="89">
        <v>0</v>
      </c>
      <c r="F53" s="89">
        <v>0</v>
      </c>
    </row>
    <row r="56" spans="2:8">
      <c r="B56" s="88">
        <f>$B$36*E36</f>
        <v>1</v>
      </c>
      <c r="C56" s="88">
        <f>$B$36*F36</f>
        <v>0</v>
      </c>
      <c r="D56" s="111">
        <v>0</v>
      </c>
      <c r="E56" s="477"/>
      <c r="F56" s="111">
        <v>0</v>
      </c>
      <c r="G56" s="88">
        <f>$C$36*E36</f>
        <v>2</v>
      </c>
      <c r="H56" s="88">
        <f>$C$36*F36</f>
        <v>0</v>
      </c>
    </row>
    <row r="57" spans="2:8">
      <c r="B57" s="88">
        <f>$B$36*E37</f>
        <v>0</v>
      </c>
      <c r="C57" s="88">
        <f>$B$36*F37</f>
        <v>1</v>
      </c>
      <c r="D57" s="111">
        <v>0</v>
      </c>
      <c r="E57" s="477"/>
      <c r="F57" s="111">
        <v>0</v>
      </c>
      <c r="G57" s="88">
        <f>$C$36*E37</f>
        <v>0</v>
      </c>
      <c r="H57" s="88">
        <f>$C$36*F37</f>
        <v>2</v>
      </c>
    </row>
    <row r="58" spans="2:8">
      <c r="B58" s="111">
        <v>0</v>
      </c>
      <c r="C58" s="111">
        <v>0</v>
      </c>
      <c r="D58" s="111">
        <v>0</v>
      </c>
      <c r="E58" s="477"/>
      <c r="F58" s="111">
        <v>0</v>
      </c>
      <c r="G58" s="111">
        <v>0</v>
      </c>
      <c r="H58" s="111">
        <v>0</v>
      </c>
    </row>
    <row r="59" spans="2:8">
      <c r="B59" s="477"/>
      <c r="C59" s="477"/>
      <c r="D59" s="477"/>
      <c r="E59" s="477"/>
      <c r="F59" s="477"/>
      <c r="G59" s="477"/>
      <c r="H59" s="477"/>
    </row>
    <row r="60" spans="2:8">
      <c r="B60" s="111">
        <v>0</v>
      </c>
      <c r="C60" s="111">
        <v>0</v>
      </c>
      <c r="D60" s="111">
        <v>0</v>
      </c>
      <c r="E60" s="477"/>
      <c r="F60" s="111">
        <v>0</v>
      </c>
      <c r="G60" s="111">
        <v>0</v>
      </c>
      <c r="H60" s="111">
        <v>0</v>
      </c>
    </row>
    <row r="61" spans="2:8">
      <c r="B61" s="88">
        <f>$B$37*E36</f>
        <v>3</v>
      </c>
      <c r="C61" s="88">
        <f>$B$37*F36</f>
        <v>0</v>
      </c>
      <c r="D61" s="111">
        <v>0</v>
      </c>
      <c r="E61" s="477"/>
      <c r="F61" s="111">
        <v>0</v>
      </c>
      <c r="G61" s="88">
        <f>$C$37*E36</f>
        <v>4</v>
      </c>
      <c r="H61" s="88">
        <f>$C$37*F36</f>
        <v>0</v>
      </c>
    </row>
    <row r="62" spans="2:8">
      <c r="B62" s="88">
        <f>$B$37*E37</f>
        <v>0</v>
      </c>
      <c r="C62" s="88">
        <f>$B$37*F37</f>
        <v>3</v>
      </c>
      <c r="D62" s="111">
        <v>0</v>
      </c>
      <c r="E62" s="477"/>
      <c r="F62" s="111">
        <v>0</v>
      </c>
      <c r="G62" s="88">
        <f>$C$37*E37</f>
        <v>0</v>
      </c>
      <c r="H62" s="88">
        <f>$C$37*F37</f>
        <v>4</v>
      </c>
    </row>
    <row r="66" spans="2:25">
      <c r="D66" s="89">
        <f>B56+F56+B60+F60</f>
        <v>1</v>
      </c>
      <c r="E66" s="89">
        <f t="shared" ref="E66:F66" si="11">C56+G56+C60+G60</f>
        <v>2</v>
      </c>
      <c r="F66" s="89">
        <f t="shared" si="11"/>
        <v>0</v>
      </c>
    </row>
    <row r="67" spans="2:25">
      <c r="D67" s="89">
        <f t="shared" ref="D67:D68" si="12">B57+F57+B61+F61</f>
        <v>3</v>
      </c>
      <c r="E67" s="89">
        <f t="shared" ref="E67:E68" si="13">C57+G57+C61+G61</f>
        <v>5</v>
      </c>
      <c r="F67" s="89">
        <f t="shared" ref="F67:F68" si="14">D57+H57+D61+H61</f>
        <v>2</v>
      </c>
    </row>
    <row r="68" spans="2:25">
      <c r="D68" s="89">
        <f t="shared" si="12"/>
        <v>0</v>
      </c>
      <c r="E68" s="89">
        <f t="shared" si="13"/>
        <v>3</v>
      </c>
      <c r="F68" s="89">
        <f t="shared" si="14"/>
        <v>4</v>
      </c>
    </row>
    <row r="71" spans="2:25" s="1" customFormat="1">
      <c r="B71" s="1" t="s">
        <v>2879</v>
      </c>
    </row>
    <row r="72" spans="2:25">
      <c r="N72" t="s">
        <v>2887</v>
      </c>
      <c r="O72" s="477" t="s">
        <v>2880</v>
      </c>
      <c r="P72" s="477">
        <v>7</v>
      </c>
    </row>
    <row r="73" spans="2:25">
      <c r="O73" s="477" t="s">
        <v>2881</v>
      </c>
      <c r="P73" s="477">
        <v>3</v>
      </c>
      <c r="S73" s="518" t="s">
        <v>2883</v>
      </c>
      <c r="T73" s="516">
        <f>P72+2*P75-P73</f>
        <v>4</v>
      </c>
      <c r="U73" s="516"/>
      <c r="V73" s="565" t="s">
        <v>2884</v>
      </c>
      <c r="W73" s="518">
        <f>(T73/T74)+V73</f>
        <v>5</v>
      </c>
    </row>
    <row r="74" spans="2:25">
      <c r="O74" s="477" t="s">
        <v>2882</v>
      </c>
      <c r="P74" s="477">
        <v>1</v>
      </c>
      <c r="S74" s="518"/>
      <c r="T74" s="516">
        <f>P74</f>
        <v>1</v>
      </c>
      <c r="U74" s="516"/>
      <c r="V74" s="565"/>
      <c r="W74" s="518"/>
    </row>
    <row r="75" spans="2:25">
      <c r="O75" s="477" t="s">
        <v>100</v>
      </c>
      <c r="P75" s="477">
        <v>0</v>
      </c>
    </row>
    <row r="77" spans="2:25">
      <c r="O77" s="499"/>
      <c r="P77" s="499"/>
      <c r="Q77" s="499"/>
      <c r="R77" s="499"/>
      <c r="S77" s="499"/>
      <c r="T77" s="499"/>
      <c r="U77" s="499"/>
      <c r="V77" s="499"/>
      <c r="W77" s="499"/>
      <c r="X77" s="499"/>
      <c r="Y77" s="499"/>
    </row>
    <row r="78" spans="2:25">
      <c r="O78" s="499"/>
      <c r="P78" s="499"/>
      <c r="Q78" s="499"/>
      <c r="R78" s="499"/>
      <c r="S78" s="499"/>
      <c r="T78" s="499"/>
      <c r="U78" s="499"/>
      <c r="V78" s="499"/>
      <c r="W78" s="499"/>
      <c r="X78" s="499"/>
      <c r="Y78" s="499"/>
    </row>
    <row r="79" spans="2:25">
      <c r="O79" s="499"/>
      <c r="P79" s="499"/>
      <c r="Q79" s="499"/>
      <c r="R79" s="499"/>
      <c r="S79" s="499"/>
      <c r="T79" s="499"/>
      <c r="U79" s="499"/>
      <c r="V79" s="499"/>
      <c r="W79" s="499"/>
      <c r="X79" s="499"/>
      <c r="Y79" s="499"/>
    </row>
    <row r="80" spans="2:25">
      <c r="O80" s="499"/>
      <c r="P80" s="499"/>
      <c r="Q80" s="499"/>
      <c r="R80" s="499"/>
      <c r="S80" s="499"/>
      <c r="T80" s="499"/>
      <c r="U80" s="499"/>
      <c r="V80" s="499"/>
      <c r="W80" s="499"/>
      <c r="X80" s="499"/>
      <c r="Y80" s="499"/>
    </row>
    <row r="81" spans="14:25">
      <c r="O81" s="499"/>
      <c r="P81" s="499"/>
      <c r="Q81" s="499"/>
      <c r="R81" s="499"/>
      <c r="S81" s="499"/>
      <c r="T81" s="499"/>
      <c r="U81" s="499"/>
      <c r="V81" s="499"/>
      <c r="W81" s="499"/>
      <c r="X81" s="499"/>
      <c r="Y81" s="499"/>
    </row>
    <row r="82" spans="14:25">
      <c r="O82" s="499"/>
      <c r="P82" s="499"/>
      <c r="Q82" s="499"/>
      <c r="R82" s="499"/>
      <c r="S82" s="499"/>
      <c r="T82" s="499"/>
      <c r="U82" s="499"/>
      <c r="V82" s="499"/>
      <c r="W82" s="499"/>
      <c r="X82" s="499"/>
      <c r="Y82" s="499"/>
    </row>
    <row r="83" spans="14:25">
      <c r="O83" s="499"/>
      <c r="P83" s="499"/>
      <c r="Q83" s="499"/>
      <c r="R83" s="499"/>
      <c r="S83" s="499"/>
      <c r="T83" s="499"/>
      <c r="U83" s="499"/>
      <c r="V83" s="499"/>
      <c r="W83" s="499"/>
      <c r="X83" s="499"/>
      <c r="Y83" s="499"/>
    </row>
    <row r="86" spans="14:25">
      <c r="N86" t="s">
        <v>2886</v>
      </c>
      <c r="O86" s="477" t="s">
        <v>2880</v>
      </c>
      <c r="P86" s="477">
        <v>7</v>
      </c>
    </row>
    <row r="87" spans="14:25">
      <c r="O87" s="477" t="s">
        <v>2881</v>
      </c>
      <c r="P87" s="477">
        <v>3</v>
      </c>
      <c r="S87" s="518" t="s">
        <v>2883</v>
      </c>
      <c r="T87" s="516">
        <f>P86+2*P89-P87</f>
        <v>6</v>
      </c>
      <c r="U87" s="516"/>
      <c r="V87" s="565" t="s">
        <v>2884</v>
      </c>
      <c r="W87" s="518">
        <f>(T87/T88)+V87</f>
        <v>4</v>
      </c>
    </row>
    <row r="88" spans="14:25">
      <c r="O88" s="477" t="s">
        <v>2882</v>
      </c>
      <c r="P88" s="477">
        <v>2</v>
      </c>
      <c r="S88" s="518"/>
      <c r="T88" s="516">
        <f>P88</f>
        <v>2</v>
      </c>
      <c r="U88" s="516"/>
      <c r="V88" s="565"/>
      <c r="W88" s="518"/>
    </row>
    <row r="89" spans="14:25">
      <c r="O89" s="477" t="s">
        <v>100</v>
      </c>
      <c r="P89" s="477">
        <v>1</v>
      </c>
    </row>
    <row r="91" spans="14:25">
      <c r="N91" t="s">
        <v>2885</v>
      </c>
      <c r="O91" s="477" t="s">
        <v>2880</v>
      </c>
      <c r="P91" s="477">
        <v>7</v>
      </c>
    </row>
    <row r="92" spans="14:25">
      <c r="O92" s="477" t="s">
        <v>2881</v>
      </c>
      <c r="P92" s="477">
        <v>3</v>
      </c>
      <c r="S92" s="518" t="s">
        <v>2883</v>
      </c>
      <c r="T92" s="516">
        <f>P91+2*P94-P92</f>
        <v>6</v>
      </c>
      <c r="U92" s="516"/>
      <c r="V92" s="565" t="s">
        <v>2884</v>
      </c>
      <c r="W92" s="518">
        <f>(T92/T93)+V92</f>
        <v>3</v>
      </c>
    </row>
    <row r="93" spans="14:25">
      <c r="O93" s="477" t="s">
        <v>2882</v>
      </c>
      <c r="P93" s="477">
        <v>3</v>
      </c>
      <c r="S93" s="518"/>
      <c r="T93" s="516">
        <f>P93</f>
        <v>3</v>
      </c>
      <c r="U93" s="516"/>
      <c r="V93" s="565"/>
      <c r="W93" s="518"/>
    </row>
    <row r="94" spans="14:25">
      <c r="O94" s="477" t="s">
        <v>100</v>
      </c>
      <c r="P94" s="477">
        <v>1</v>
      </c>
    </row>
    <row r="98" spans="2:56" s="161" customFormat="1">
      <c r="B98" s="161" t="s">
        <v>2888</v>
      </c>
    </row>
    <row r="99" spans="2:56">
      <c r="O99" t="s">
        <v>2883</v>
      </c>
      <c r="Q99">
        <v>5</v>
      </c>
      <c r="AI99" t="s">
        <v>2895</v>
      </c>
      <c r="AJ99">
        <f>AB102-Q102-1</f>
        <v>2</v>
      </c>
    </row>
    <row r="100" spans="2:56">
      <c r="O100" t="s">
        <v>2889</v>
      </c>
      <c r="Q100">
        <v>1</v>
      </c>
      <c r="V100" t="s">
        <v>2891</v>
      </c>
      <c r="AL100" s="208"/>
      <c r="AM100" s="208"/>
      <c r="AN100" s="208"/>
      <c r="AO100" s="208"/>
      <c r="AP100" s="208"/>
      <c r="AQ100" s="208"/>
      <c r="AR100" s="208"/>
      <c r="AS100" s="208"/>
      <c r="AT100" s="208"/>
      <c r="AZ100" s="529" t="s">
        <v>2898</v>
      </c>
      <c r="BA100" s="529"/>
      <c r="BB100" s="529"/>
    </row>
    <row r="101" spans="2:56">
      <c r="O101" t="s">
        <v>2890</v>
      </c>
      <c r="Q101">
        <f>Q100-1</f>
        <v>0</v>
      </c>
      <c r="V101">
        <f>(Q100*(Q99-1)+1)*(Q100*(Q99-1)+1)</f>
        <v>25</v>
      </c>
      <c r="Y101" t="s">
        <v>2892</v>
      </c>
      <c r="AH101" s="516" t="s">
        <v>2891</v>
      </c>
      <c r="AI101" s="516"/>
      <c r="AJ101">
        <f>(Q100*(Q99-1)+2*AB102-2*Q102-1)*(Q100*(Q99-1)+2*AB102-2*Q102-1)</f>
        <v>81</v>
      </c>
      <c r="AL101" s="208"/>
      <c r="AM101" s="208"/>
      <c r="AN101" s="208"/>
      <c r="AO101" s="208"/>
      <c r="AP101" s="208"/>
      <c r="AQ101" s="208"/>
      <c r="AR101" s="208"/>
      <c r="AS101" s="208"/>
      <c r="AT101" s="208"/>
      <c r="AX101" s="501"/>
      <c r="AY101" s="501"/>
      <c r="AZ101" s="501"/>
      <c r="BA101" s="501"/>
      <c r="BB101" s="501"/>
      <c r="BC101" s="501"/>
      <c r="BD101" s="501"/>
    </row>
    <row r="102" spans="2:56">
      <c r="O102" t="s">
        <v>100</v>
      </c>
      <c r="Q102">
        <v>0</v>
      </c>
      <c r="AA102" t="s">
        <v>2894</v>
      </c>
      <c r="AB102">
        <v>3</v>
      </c>
      <c r="AL102" s="208"/>
      <c r="AM102" s="208"/>
      <c r="AN102" s="500"/>
      <c r="AO102" s="500"/>
      <c r="AP102" s="500"/>
      <c r="AQ102" s="500"/>
      <c r="AR102" s="500"/>
      <c r="AS102" s="208"/>
      <c r="AT102" s="208"/>
      <c r="AX102" s="501"/>
      <c r="AY102" s="501"/>
      <c r="AZ102" s="501"/>
      <c r="BA102" s="501"/>
      <c r="BB102" s="501"/>
      <c r="BC102" s="501"/>
      <c r="BD102" s="501"/>
    </row>
    <row r="103" spans="2:56">
      <c r="O103" s="500"/>
      <c r="P103" s="500"/>
      <c r="Q103" s="500"/>
      <c r="R103" s="500"/>
      <c r="S103" s="500"/>
      <c r="AD103" s="500"/>
      <c r="AE103" s="500"/>
      <c r="AF103" s="500"/>
      <c r="AG103" s="500"/>
      <c r="AH103" s="500"/>
      <c r="AL103" s="208"/>
      <c r="AM103" s="208"/>
      <c r="AN103" s="500"/>
      <c r="AO103" s="500"/>
      <c r="AP103" s="500"/>
      <c r="AQ103" s="500"/>
      <c r="AR103" s="500"/>
      <c r="AS103" s="208"/>
      <c r="AT103" s="208"/>
      <c r="AX103" s="501"/>
      <c r="AY103" s="501"/>
      <c r="AZ103" s="501"/>
      <c r="BA103" s="501"/>
      <c r="BB103" s="501"/>
      <c r="BC103" s="501"/>
      <c r="BD103" s="501"/>
    </row>
    <row r="104" spans="2:56">
      <c r="O104" s="500"/>
      <c r="P104" s="500"/>
      <c r="Q104" s="500"/>
      <c r="R104" s="500"/>
      <c r="S104" s="500"/>
      <c r="Z104" s="154"/>
      <c r="AA104" s="154"/>
      <c r="AB104" s="154"/>
      <c r="AD104" s="500"/>
      <c r="AE104" s="500"/>
      <c r="AF104" s="500"/>
      <c r="AG104" s="500"/>
      <c r="AH104" s="500"/>
      <c r="AL104" s="208"/>
      <c r="AM104" s="208"/>
      <c r="AN104" s="500"/>
      <c r="AO104" s="500"/>
      <c r="AP104" s="500"/>
      <c r="AQ104" s="500"/>
      <c r="AR104" s="500"/>
      <c r="AS104" s="208"/>
      <c r="AT104" s="208"/>
      <c r="AX104" s="501"/>
      <c r="AY104" s="501"/>
      <c r="AZ104" s="501"/>
      <c r="BA104" s="501"/>
      <c r="BB104" s="501"/>
      <c r="BC104" s="501"/>
      <c r="BD104" s="501"/>
    </row>
    <row r="105" spans="2:56">
      <c r="O105" s="500"/>
      <c r="P105" s="500"/>
      <c r="Q105" s="500"/>
      <c r="R105" s="500"/>
      <c r="S105" s="500"/>
      <c r="Z105" s="154"/>
      <c r="AA105" s="154"/>
      <c r="AB105" s="154"/>
      <c r="AD105" s="500"/>
      <c r="AE105" s="500"/>
      <c r="AF105" s="500"/>
      <c r="AG105" s="500"/>
      <c r="AH105" s="500"/>
      <c r="AL105" s="208"/>
      <c r="AM105" s="208"/>
      <c r="AN105" s="500"/>
      <c r="AO105" s="500"/>
      <c r="AP105" s="500"/>
      <c r="AQ105" s="500"/>
      <c r="AR105" s="500"/>
      <c r="AS105" s="208"/>
      <c r="AT105" s="208"/>
      <c r="AX105" s="501"/>
      <c r="AY105" s="501"/>
      <c r="AZ105" s="501"/>
      <c r="BA105" s="501"/>
      <c r="BB105" s="501"/>
      <c r="BC105" s="501"/>
      <c r="BD105" s="501"/>
    </row>
    <row r="106" spans="2:56">
      <c r="O106" s="500"/>
      <c r="P106" s="500"/>
      <c r="Q106" s="500"/>
      <c r="R106" s="500"/>
      <c r="S106" s="500"/>
      <c r="Z106" s="154"/>
      <c r="AA106" s="154"/>
      <c r="AB106" s="154"/>
      <c r="AC106" s="476" t="s">
        <v>2893</v>
      </c>
      <c r="AD106" s="500"/>
      <c r="AE106" s="500"/>
      <c r="AF106" s="500"/>
      <c r="AG106" s="500"/>
      <c r="AH106" s="500"/>
      <c r="AJ106" t="s">
        <v>2896</v>
      </c>
      <c r="AL106" s="208"/>
      <c r="AM106" s="208"/>
      <c r="AN106" s="500"/>
      <c r="AO106" s="500"/>
      <c r="AP106" s="500"/>
      <c r="AQ106" s="500"/>
      <c r="AR106" s="500"/>
      <c r="AS106" s="208"/>
      <c r="AT106" s="208"/>
      <c r="AV106" t="s">
        <v>2897</v>
      </c>
      <c r="AX106" s="501"/>
      <c r="AY106" s="501"/>
      <c r="AZ106" s="501"/>
      <c r="BA106" s="501"/>
      <c r="BB106" s="501"/>
      <c r="BC106" s="501"/>
      <c r="BD106" s="501"/>
    </row>
    <row r="107" spans="2:56">
      <c r="O107" s="500"/>
      <c r="P107" s="500"/>
      <c r="Q107" s="500"/>
      <c r="R107" s="500"/>
      <c r="S107" s="500"/>
      <c r="AD107" s="500"/>
      <c r="AE107" s="500"/>
      <c r="AF107" s="500"/>
      <c r="AG107" s="500"/>
      <c r="AH107" s="500"/>
      <c r="AL107" s="208"/>
      <c r="AM107" s="208"/>
      <c r="AN107" s="208"/>
      <c r="AO107" s="208"/>
      <c r="AP107" s="208"/>
      <c r="AQ107" s="208"/>
      <c r="AR107" s="208"/>
      <c r="AS107" s="208"/>
      <c r="AT107" s="208"/>
      <c r="AX107" s="501"/>
      <c r="AY107" s="501"/>
      <c r="AZ107" s="501"/>
      <c r="BA107" s="501"/>
      <c r="BB107" s="501"/>
      <c r="BC107" s="501"/>
      <c r="BD107" s="501"/>
    </row>
    <row r="108" spans="2:56">
      <c r="AL108" s="208"/>
      <c r="AM108" s="208"/>
      <c r="AN108" s="208"/>
      <c r="AO108" s="208"/>
      <c r="AP108" s="208"/>
      <c r="AQ108" s="208"/>
      <c r="AR108" s="208"/>
      <c r="AS108" s="208"/>
      <c r="AT108" s="208"/>
    </row>
    <row r="115" spans="33:35">
      <c r="AG115" t="s">
        <v>2880</v>
      </c>
      <c r="AI115">
        <f>(Q99-1)*Q100+AB102-2*Q102</f>
        <v>7</v>
      </c>
    </row>
    <row r="160" spans="2:6">
      <c r="B160" t="s">
        <v>2899</v>
      </c>
      <c r="F160" t="s">
        <v>2900</v>
      </c>
    </row>
    <row r="161" spans="7:7">
      <c r="G161" t="s">
        <v>2901</v>
      </c>
    </row>
  </sheetData>
  <mergeCells count="19">
    <mergeCell ref="AZ100:BB100"/>
    <mergeCell ref="S92:S93"/>
    <mergeCell ref="T92:U92"/>
    <mergeCell ref="V92:V93"/>
    <mergeCell ref="W92:W93"/>
    <mergeCell ref="T93:U93"/>
    <mergeCell ref="AH101:AI101"/>
    <mergeCell ref="V73:V74"/>
    <mergeCell ref="W73:W74"/>
    <mergeCell ref="S87:S88"/>
    <mergeCell ref="T87:U87"/>
    <mergeCell ref="V87:V88"/>
    <mergeCell ref="W87:W88"/>
    <mergeCell ref="T88:U88"/>
    <mergeCell ref="B35:C35"/>
    <mergeCell ref="E35:F35"/>
    <mergeCell ref="S73:S74"/>
    <mergeCell ref="T73:U73"/>
    <mergeCell ref="T74:U74"/>
  </mergeCells>
  <phoneticPr fontId="5" type="noConversion"/>
  <hyperlinks>
    <hyperlink ref="B13" r:id="rId1" location="scrollTo=VCYmQv2PpUc6" xr:uid="{00000000-0004-0000-4A00-000000000000}"/>
  </hyperlinks>
  <pageMargins left="0.7" right="0.7" top="0.75" bottom="0.75" header="0.3" footer="0.3"/>
  <drawing r:id="rId2"/>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B00-000000000000}">
  <dimension ref="A3:AB66"/>
  <sheetViews>
    <sheetView topLeftCell="A46" zoomScale="115" zoomScaleNormal="115" workbookViewId="0">
      <selection activeCell="H70" sqref="H70"/>
    </sheetView>
  </sheetViews>
  <sheetFormatPr defaultRowHeight="16.5"/>
  <cols>
    <col min="1" max="1" width="9" style="477"/>
    <col min="2" max="7" width="2.875" style="477" customWidth="1"/>
    <col min="8" max="8" width="9" style="477"/>
    <col min="9" max="14" width="3.5" style="477" customWidth="1"/>
    <col min="15" max="15" width="9" style="477"/>
    <col min="16" max="21" width="3.25" style="477" customWidth="1"/>
    <col min="22" max="22" width="9" style="477"/>
    <col min="23" max="28" width="3.5" style="477" customWidth="1"/>
    <col min="29" max="16384" width="9" style="477"/>
  </cols>
  <sheetData>
    <row r="3" spans="18:24">
      <c r="R3" s="477" t="s">
        <v>2848</v>
      </c>
      <c r="T3" s="477">
        <v>80</v>
      </c>
    </row>
    <row r="6" spans="18:24">
      <c r="S6" s="477" t="s">
        <v>2852</v>
      </c>
      <c r="T6" s="477">
        <v>0</v>
      </c>
      <c r="V6" s="477" t="s">
        <v>2853</v>
      </c>
      <c r="X6" s="477" t="s">
        <v>2854</v>
      </c>
    </row>
    <row r="7" spans="18:24">
      <c r="S7" s="477" t="s">
        <v>2849</v>
      </c>
      <c r="T7" s="477">
        <v>1</v>
      </c>
    </row>
    <row r="8" spans="18:24">
      <c r="S8" s="477" t="s">
        <v>2850</v>
      </c>
      <c r="T8" s="477">
        <v>2</v>
      </c>
    </row>
    <row r="13" spans="18:24">
      <c r="S13" s="477" t="s">
        <v>2851</v>
      </c>
      <c r="T13" s="477">
        <v>80</v>
      </c>
    </row>
    <row r="33" spans="2:28">
      <c r="B33" s="518" t="s">
        <v>2827</v>
      </c>
      <c r="C33" s="518"/>
      <c r="D33" s="518"/>
      <c r="E33" s="518"/>
      <c r="F33" s="518"/>
      <c r="G33" s="518"/>
      <c r="H33" s="518"/>
      <c r="I33" s="518"/>
      <c r="J33" s="518"/>
      <c r="K33" s="518"/>
      <c r="L33" s="518"/>
      <c r="M33" s="518"/>
      <c r="N33" s="518"/>
      <c r="O33" s="518"/>
      <c r="P33" s="518"/>
      <c r="Q33" s="518"/>
      <c r="R33" s="518"/>
      <c r="S33" s="518"/>
      <c r="T33" s="518"/>
      <c r="U33" s="518"/>
    </row>
    <row r="34" spans="2:28">
      <c r="B34" s="566" t="s">
        <v>2855</v>
      </c>
      <c r="C34" s="566"/>
      <c r="D34" s="566"/>
      <c r="E34" s="566"/>
      <c r="F34" s="566"/>
      <c r="G34" s="566"/>
      <c r="I34" s="566" t="s">
        <v>2856</v>
      </c>
      <c r="J34" s="566"/>
      <c r="K34" s="566"/>
      <c r="L34" s="566"/>
      <c r="M34" s="566"/>
      <c r="N34" s="566"/>
      <c r="P34" s="566" t="s">
        <v>2857</v>
      </c>
      <c r="Q34" s="566"/>
      <c r="R34" s="566"/>
      <c r="S34" s="566"/>
      <c r="T34" s="566"/>
      <c r="U34" s="566"/>
    </row>
    <row r="35" spans="2:28">
      <c r="B35" s="496">
        <v>1</v>
      </c>
      <c r="C35" s="496">
        <v>1</v>
      </c>
      <c r="D35" s="496">
        <v>1</v>
      </c>
      <c r="E35" s="496">
        <v>1</v>
      </c>
      <c r="F35" s="496">
        <v>1</v>
      </c>
      <c r="G35" s="496">
        <v>1</v>
      </c>
      <c r="I35" s="496">
        <v>0</v>
      </c>
      <c r="J35" s="496">
        <v>0</v>
      </c>
      <c r="K35" s="496">
        <v>0</v>
      </c>
      <c r="L35" s="496">
        <v>0</v>
      </c>
      <c r="M35" s="496">
        <v>0</v>
      </c>
      <c r="N35" s="496">
        <v>0</v>
      </c>
      <c r="P35" s="496">
        <v>0</v>
      </c>
      <c r="Q35" s="496">
        <v>0</v>
      </c>
      <c r="R35" s="496">
        <v>0</v>
      </c>
      <c r="S35" s="496">
        <v>0</v>
      </c>
      <c r="T35" s="496">
        <v>0</v>
      </c>
      <c r="U35" s="496">
        <v>0</v>
      </c>
    </row>
    <row r="36" spans="2:28">
      <c r="B36" s="496">
        <v>1</v>
      </c>
      <c r="C36" s="496">
        <v>0</v>
      </c>
      <c r="D36" s="496">
        <v>0</v>
      </c>
      <c r="E36" s="496">
        <v>0</v>
      </c>
      <c r="F36" s="496">
        <v>1</v>
      </c>
      <c r="G36" s="496">
        <v>1</v>
      </c>
      <c r="I36" s="496">
        <v>0</v>
      </c>
      <c r="J36" s="496">
        <v>0</v>
      </c>
      <c r="K36" s="496">
        <v>0</v>
      </c>
      <c r="L36" s="496">
        <v>0</v>
      </c>
      <c r="M36" s="496">
        <v>0</v>
      </c>
      <c r="N36" s="496">
        <v>0</v>
      </c>
      <c r="P36" s="496">
        <v>0</v>
      </c>
      <c r="Q36" s="496">
        <v>1</v>
      </c>
      <c r="R36" s="496">
        <v>1</v>
      </c>
      <c r="S36" s="496">
        <v>1</v>
      </c>
      <c r="T36" s="496">
        <v>0</v>
      </c>
      <c r="U36" s="496">
        <v>0</v>
      </c>
    </row>
    <row r="37" spans="2:28">
      <c r="B37" s="496">
        <v>0</v>
      </c>
      <c r="C37" s="496">
        <v>0</v>
      </c>
      <c r="D37" s="496">
        <v>0</v>
      </c>
      <c r="E37" s="496">
        <v>0</v>
      </c>
      <c r="F37" s="496">
        <v>0</v>
      </c>
      <c r="G37" s="496">
        <v>1</v>
      </c>
      <c r="I37" s="496">
        <v>0</v>
      </c>
      <c r="J37" s="496">
        <v>0</v>
      </c>
      <c r="K37" s="496">
        <v>0</v>
      </c>
      <c r="L37" s="496">
        <v>0</v>
      </c>
      <c r="M37" s="496">
        <v>1</v>
      </c>
      <c r="N37" s="496">
        <v>0</v>
      </c>
      <c r="P37" s="496">
        <v>1</v>
      </c>
      <c r="Q37" s="496">
        <v>1</v>
      </c>
      <c r="R37" s="496">
        <v>1</v>
      </c>
      <c r="S37" s="496">
        <v>1</v>
      </c>
      <c r="T37" s="496">
        <v>0</v>
      </c>
      <c r="U37" s="496">
        <v>0</v>
      </c>
    </row>
    <row r="38" spans="2:28">
      <c r="B38" s="496">
        <v>0</v>
      </c>
      <c r="C38" s="496">
        <v>0</v>
      </c>
      <c r="D38" s="496">
        <v>0</v>
      </c>
      <c r="E38" s="496">
        <v>0</v>
      </c>
      <c r="F38" s="496">
        <v>0</v>
      </c>
      <c r="G38" s="496">
        <v>1</v>
      </c>
      <c r="I38" s="496">
        <v>0</v>
      </c>
      <c r="J38" s="496">
        <v>0</v>
      </c>
      <c r="K38" s="496">
        <v>0</v>
      </c>
      <c r="L38" s="496">
        <v>1</v>
      </c>
      <c r="M38" s="496">
        <v>1</v>
      </c>
      <c r="N38" s="496">
        <v>0</v>
      </c>
      <c r="P38" s="496">
        <v>1</v>
      </c>
      <c r="Q38" s="496">
        <v>1</v>
      </c>
      <c r="R38" s="496">
        <v>1</v>
      </c>
      <c r="S38" s="496">
        <v>0</v>
      </c>
      <c r="T38" s="496">
        <v>0</v>
      </c>
      <c r="U38" s="496">
        <v>0</v>
      </c>
    </row>
    <row r="39" spans="2:28">
      <c r="B39" s="496">
        <v>1</v>
      </c>
      <c r="C39" s="496">
        <v>0</v>
      </c>
      <c r="D39" s="496">
        <v>0</v>
      </c>
      <c r="E39" s="496">
        <v>0</v>
      </c>
      <c r="F39" s="496">
        <v>0</v>
      </c>
      <c r="G39" s="496">
        <v>1</v>
      </c>
      <c r="I39" s="496">
        <v>0</v>
      </c>
      <c r="J39" s="496">
        <v>0</v>
      </c>
      <c r="K39" s="496">
        <v>0</v>
      </c>
      <c r="L39" s="496">
        <v>1</v>
      </c>
      <c r="M39" s="496">
        <v>1</v>
      </c>
      <c r="N39" s="496">
        <v>0</v>
      </c>
      <c r="P39" s="496">
        <v>0</v>
      </c>
      <c r="Q39" s="496">
        <v>1</v>
      </c>
      <c r="R39" s="496">
        <v>1</v>
      </c>
      <c r="S39" s="496">
        <v>0</v>
      </c>
      <c r="T39" s="496">
        <v>0</v>
      </c>
      <c r="U39" s="496">
        <v>0</v>
      </c>
    </row>
    <row r="40" spans="2:28">
      <c r="B40" s="496">
        <v>1</v>
      </c>
      <c r="C40" s="496">
        <v>0</v>
      </c>
      <c r="D40" s="496">
        <v>0</v>
      </c>
      <c r="E40" s="496">
        <v>0</v>
      </c>
      <c r="F40" s="496">
        <v>0</v>
      </c>
      <c r="G40" s="496">
        <v>1</v>
      </c>
      <c r="I40" s="496">
        <v>0</v>
      </c>
      <c r="J40" s="496">
        <v>0</v>
      </c>
      <c r="K40" s="496">
        <v>0</v>
      </c>
      <c r="L40" s="496">
        <v>1</v>
      </c>
      <c r="M40" s="496">
        <v>1</v>
      </c>
      <c r="N40" s="496">
        <v>0</v>
      </c>
      <c r="P40" s="496">
        <v>0</v>
      </c>
      <c r="Q40" s="496">
        <v>1</v>
      </c>
      <c r="R40" s="496">
        <v>1</v>
      </c>
      <c r="S40" s="496">
        <v>0</v>
      </c>
      <c r="T40" s="496">
        <v>0</v>
      </c>
      <c r="U40" s="496">
        <v>0</v>
      </c>
    </row>
    <row r="43" spans="2:28">
      <c r="B43" s="518" t="s">
        <v>2858</v>
      </c>
      <c r="C43" s="518"/>
      <c r="D43" s="518"/>
      <c r="E43" s="518"/>
      <c r="F43" s="518"/>
      <c r="G43" s="518"/>
      <c r="H43" s="518"/>
      <c r="I43" s="518"/>
      <c r="J43" s="518"/>
      <c r="K43" s="518"/>
      <c r="L43" s="518"/>
      <c r="M43" s="518"/>
      <c r="N43" s="518"/>
      <c r="O43" s="518"/>
      <c r="P43" s="518"/>
      <c r="Q43" s="518"/>
      <c r="R43" s="518"/>
      <c r="S43" s="518"/>
      <c r="T43" s="518"/>
      <c r="U43" s="518"/>
      <c r="W43" s="518" t="s">
        <v>2859</v>
      </c>
      <c r="X43" s="518"/>
      <c r="Y43" s="518"/>
      <c r="Z43" s="518"/>
      <c r="AA43" s="518"/>
      <c r="AB43" s="518"/>
    </row>
    <row r="44" spans="2:28">
      <c r="B44" s="566" t="s">
        <v>2855</v>
      </c>
      <c r="C44" s="566"/>
      <c r="D44" s="566"/>
      <c r="E44" s="566"/>
      <c r="F44" s="566"/>
      <c r="G44" s="566"/>
      <c r="I44" s="566" t="s">
        <v>2856</v>
      </c>
      <c r="J44" s="566"/>
      <c r="K44" s="566"/>
      <c r="L44" s="566"/>
      <c r="M44" s="566"/>
      <c r="N44" s="566"/>
      <c r="P44" s="566" t="s">
        <v>2857</v>
      </c>
      <c r="Q44" s="566"/>
      <c r="R44" s="566"/>
      <c r="S44" s="566"/>
      <c r="T44" s="566"/>
      <c r="U44" s="566"/>
    </row>
    <row r="45" spans="2:28">
      <c r="B45" s="497">
        <v>0.8</v>
      </c>
      <c r="C45" s="497"/>
      <c r="D45" s="497"/>
      <c r="E45" s="497"/>
      <c r="F45" s="497"/>
      <c r="G45" s="497"/>
      <c r="H45" s="76"/>
      <c r="I45" s="497">
        <v>0.1</v>
      </c>
      <c r="J45" s="497"/>
      <c r="K45" s="497"/>
      <c r="L45" s="497"/>
      <c r="M45" s="497"/>
      <c r="N45" s="497"/>
      <c r="O45" s="76"/>
      <c r="P45" s="497">
        <v>0.1</v>
      </c>
      <c r="Q45" s="497"/>
      <c r="R45" s="497"/>
      <c r="S45" s="497"/>
      <c r="T45" s="497"/>
      <c r="U45" s="497"/>
      <c r="W45" s="496">
        <f>B45+I45+P45</f>
        <v>1</v>
      </c>
      <c r="X45" s="496"/>
      <c r="Y45" s="496"/>
      <c r="Z45" s="496"/>
      <c r="AA45" s="496"/>
      <c r="AB45" s="496"/>
    </row>
    <row r="46" spans="2:28">
      <c r="B46" s="497"/>
      <c r="C46" s="497"/>
      <c r="D46" s="497"/>
      <c r="E46" s="497"/>
      <c r="F46" s="497"/>
      <c r="G46" s="497"/>
      <c r="H46" s="76"/>
      <c r="I46" s="497"/>
      <c r="J46" s="497"/>
      <c r="K46" s="497"/>
      <c r="L46" s="497"/>
      <c r="M46" s="497"/>
      <c r="N46" s="497"/>
      <c r="O46" s="76"/>
      <c r="P46" s="497"/>
      <c r="Q46" s="497"/>
      <c r="R46" s="497"/>
      <c r="S46" s="497"/>
      <c r="T46" s="497"/>
      <c r="U46" s="497"/>
      <c r="W46" s="496"/>
      <c r="X46" s="496"/>
      <c r="Y46" s="496"/>
      <c r="Z46" s="496"/>
      <c r="AA46" s="496"/>
      <c r="AB46" s="496"/>
    </row>
    <row r="47" spans="2:28">
      <c r="B47" s="497"/>
      <c r="C47" s="497"/>
      <c r="D47" s="497"/>
      <c r="E47" s="497"/>
      <c r="F47" s="497"/>
      <c r="G47" s="497"/>
      <c r="H47" s="76"/>
      <c r="I47" s="497"/>
      <c r="J47" s="497"/>
      <c r="K47" s="497"/>
      <c r="L47" s="497"/>
      <c r="M47" s="497"/>
      <c r="N47" s="497"/>
      <c r="O47" s="76"/>
      <c r="P47" s="497"/>
      <c r="Q47" s="497"/>
      <c r="R47" s="497"/>
      <c r="S47" s="497"/>
      <c r="T47" s="497"/>
      <c r="U47" s="497"/>
      <c r="W47" s="496"/>
      <c r="X47" s="496"/>
      <c r="Y47" s="496"/>
      <c r="Z47" s="496"/>
      <c r="AA47" s="496"/>
      <c r="AB47" s="496"/>
    </row>
    <row r="48" spans="2:28">
      <c r="B48" s="497"/>
      <c r="C48" s="497"/>
      <c r="D48" s="497"/>
      <c r="E48" s="497"/>
      <c r="F48" s="497"/>
      <c r="G48" s="497"/>
      <c r="H48" s="76"/>
      <c r="I48" s="497"/>
      <c r="J48" s="497"/>
      <c r="K48" s="497"/>
      <c r="L48" s="497"/>
      <c r="M48" s="497"/>
      <c r="N48" s="497"/>
      <c r="O48" s="76"/>
      <c r="P48" s="497"/>
      <c r="Q48" s="497"/>
      <c r="R48" s="497"/>
      <c r="S48" s="497"/>
      <c r="T48" s="497"/>
      <c r="U48" s="497"/>
      <c r="W48" s="496"/>
      <c r="X48" s="496"/>
      <c r="Y48" s="496"/>
      <c r="Z48" s="496"/>
      <c r="AA48" s="496"/>
      <c r="AB48" s="496"/>
    </row>
    <row r="49" spans="1:28">
      <c r="B49" s="497"/>
      <c r="C49" s="497"/>
      <c r="D49" s="497"/>
      <c r="E49" s="497"/>
      <c r="F49" s="497"/>
      <c r="G49" s="497"/>
      <c r="H49" s="76"/>
      <c r="I49" s="497"/>
      <c r="J49" s="497"/>
      <c r="K49" s="497"/>
      <c r="L49" s="497"/>
      <c r="M49" s="497"/>
      <c r="N49" s="497"/>
      <c r="O49" s="76"/>
      <c r="P49" s="497"/>
      <c r="Q49" s="497"/>
      <c r="R49" s="497"/>
      <c r="S49" s="497"/>
      <c r="T49" s="497"/>
      <c r="U49" s="497"/>
      <c r="W49" s="496"/>
      <c r="X49" s="496"/>
      <c r="Y49" s="496"/>
      <c r="Z49" s="496"/>
      <c r="AA49" s="496"/>
      <c r="AB49" s="496"/>
    </row>
    <row r="50" spans="1:28">
      <c r="B50" s="497"/>
      <c r="C50" s="497"/>
      <c r="D50" s="497"/>
      <c r="E50" s="497"/>
      <c r="F50" s="497"/>
      <c r="G50" s="497"/>
      <c r="H50" s="76"/>
      <c r="I50" s="497"/>
      <c r="J50" s="497"/>
      <c r="K50" s="497"/>
      <c r="L50" s="497"/>
      <c r="M50" s="497"/>
      <c r="N50" s="497"/>
      <c r="O50" s="76"/>
      <c r="P50" s="497"/>
      <c r="Q50" s="497"/>
      <c r="R50" s="497"/>
      <c r="S50" s="497"/>
      <c r="T50" s="497"/>
      <c r="U50" s="497"/>
      <c r="W50" s="496"/>
      <c r="X50" s="496"/>
      <c r="Y50" s="496"/>
      <c r="Z50" s="496"/>
      <c r="AA50" s="496"/>
      <c r="AB50" s="496"/>
    </row>
    <row r="52" spans="1:28">
      <c r="B52" s="498" t="s">
        <v>2860</v>
      </c>
    </row>
    <row r="54" spans="1:28">
      <c r="A54" s="477" t="s">
        <v>2861</v>
      </c>
      <c r="B54" s="497">
        <f>MAX(B45,I45,P45)</f>
        <v>0.8</v>
      </c>
      <c r="C54" s="497"/>
      <c r="D54" s="497"/>
      <c r="E54" s="497"/>
      <c r="F54" s="497"/>
      <c r="G54" s="497"/>
    </row>
    <row r="55" spans="1:28">
      <c r="B55" s="497"/>
      <c r="C55" s="497"/>
      <c r="D55" s="497"/>
      <c r="E55" s="497"/>
      <c r="F55" s="497"/>
      <c r="G55" s="497"/>
    </row>
    <row r="56" spans="1:28">
      <c r="B56" s="497"/>
      <c r="C56" s="497"/>
      <c r="D56" s="497"/>
      <c r="E56" s="497"/>
      <c r="F56" s="497"/>
      <c r="G56" s="497"/>
    </row>
    <row r="57" spans="1:28">
      <c r="B57" s="497"/>
      <c r="C57" s="497"/>
      <c r="D57" s="497"/>
      <c r="E57" s="497"/>
      <c r="F57" s="497"/>
      <c r="G57" s="497"/>
    </row>
    <row r="58" spans="1:28">
      <c r="B58" s="497"/>
      <c r="C58" s="497"/>
      <c r="D58" s="497"/>
      <c r="E58" s="497"/>
      <c r="F58" s="497"/>
      <c r="G58" s="497"/>
    </row>
    <row r="59" spans="1:28">
      <c r="B59" s="497"/>
      <c r="C59" s="497"/>
      <c r="D59" s="497"/>
      <c r="E59" s="497"/>
      <c r="F59" s="497"/>
      <c r="G59" s="497"/>
    </row>
    <row r="63" spans="1:28">
      <c r="B63" s="477" t="s">
        <v>2862</v>
      </c>
    </row>
    <row r="64" spans="1:28">
      <c r="B64" s="477" t="s">
        <v>2863</v>
      </c>
      <c r="H64" s="477">
        <v>2015</v>
      </c>
    </row>
    <row r="65" spans="2:8">
      <c r="B65" s="477" t="s">
        <v>2864</v>
      </c>
      <c r="H65" s="477">
        <v>2017</v>
      </c>
    </row>
    <row r="66" spans="2:8">
      <c r="B66" s="477" t="s">
        <v>2865</v>
      </c>
      <c r="H66" s="477">
        <v>2018</v>
      </c>
    </row>
  </sheetData>
  <mergeCells count="9">
    <mergeCell ref="B44:G44"/>
    <mergeCell ref="I44:N44"/>
    <mergeCell ref="P44:U44"/>
    <mergeCell ref="W43:AB43"/>
    <mergeCell ref="B34:G34"/>
    <mergeCell ref="I34:N34"/>
    <mergeCell ref="P34:U34"/>
    <mergeCell ref="B33:U33"/>
    <mergeCell ref="B43:U43"/>
  </mergeCells>
  <phoneticPr fontId="5" type="noConversion"/>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C00-000000000000}">
  <dimension ref="B65:R115"/>
  <sheetViews>
    <sheetView topLeftCell="A97" zoomScale="145" zoomScaleNormal="145" workbookViewId="0">
      <selection activeCell="E116" sqref="E116"/>
    </sheetView>
  </sheetViews>
  <sheetFormatPr defaultRowHeight="16.5"/>
  <sheetData>
    <row r="65" spans="3:18">
      <c r="C65" t="s">
        <v>2902</v>
      </c>
      <c r="E65" t="s">
        <v>2903</v>
      </c>
      <c r="F65" t="s">
        <v>2904</v>
      </c>
      <c r="H65" t="s">
        <v>2905</v>
      </c>
      <c r="J65" t="s">
        <v>2906</v>
      </c>
    </row>
    <row r="77" spans="3:18">
      <c r="R77" s="127" t="s">
        <v>2907</v>
      </c>
    </row>
    <row r="103" spans="5:6">
      <c r="E103" t="s">
        <v>2908</v>
      </c>
      <c r="F103" t="s">
        <v>2909</v>
      </c>
    </row>
    <row r="104" spans="5:6">
      <c r="E104" t="s">
        <v>2910</v>
      </c>
      <c r="F104" t="s">
        <v>2911</v>
      </c>
    </row>
    <row r="105" spans="5:6">
      <c r="E105" t="s">
        <v>2912</v>
      </c>
      <c r="F105" t="s">
        <v>2913</v>
      </c>
    </row>
    <row r="106" spans="5:6">
      <c r="E106" t="s">
        <v>2914</v>
      </c>
      <c r="F106" t="s">
        <v>2915</v>
      </c>
    </row>
    <row r="110" spans="5:6">
      <c r="E110" t="s">
        <v>2916</v>
      </c>
      <c r="F110" t="s">
        <v>2917</v>
      </c>
    </row>
    <row r="113" spans="2:5">
      <c r="B113" t="s">
        <v>2918</v>
      </c>
      <c r="E113" t="s">
        <v>2919</v>
      </c>
    </row>
    <row r="114" spans="2:5">
      <c r="E114" t="s">
        <v>2920</v>
      </c>
    </row>
    <row r="115" spans="2:5">
      <c r="E115" t="s">
        <v>2921</v>
      </c>
    </row>
  </sheetData>
  <phoneticPr fontId="5" type="noConversion"/>
  <pageMargins left="0.7" right="0.7" top="0.75" bottom="0.75" header="0.3" footer="0.3"/>
  <drawing r:id="rId1"/>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D00-000000000000}">
  <dimension ref="A3:AO30"/>
  <sheetViews>
    <sheetView topLeftCell="A16" zoomScale="130" zoomScaleNormal="130" workbookViewId="0">
      <selection activeCell="H23" sqref="H23"/>
    </sheetView>
  </sheetViews>
  <sheetFormatPr defaultRowHeight="16.5"/>
  <sheetData>
    <row r="3" spans="1:40">
      <c r="G3" s="142" t="s">
        <v>2924</v>
      </c>
    </row>
    <row r="4" spans="1:40">
      <c r="G4" s="505" t="s">
        <v>2925</v>
      </c>
    </row>
    <row r="5" spans="1:40">
      <c r="A5" s="503"/>
      <c r="B5" s="504" t="s">
        <v>2922</v>
      </c>
      <c r="C5" s="503"/>
      <c r="D5" s="503"/>
      <c r="E5" s="503"/>
      <c r="F5" s="503"/>
      <c r="G5" s="503" t="s">
        <v>2923</v>
      </c>
      <c r="H5" s="503"/>
      <c r="I5" s="503"/>
      <c r="J5" s="503"/>
      <c r="K5" s="503"/>
      <c r="L5" s="503"/>
      <c r="M5" s="503"/>
      <c r="N5" s="503"/>
      <c r="O5" s="503"/>
      <c r="P5" s="503"/>
      <c r="Q5" s="503"/>
      <c r="R5" s="503"/>
      <c r="S5" s="503"/>
      <c r="T5" s="503"/>
      <c r="U5" s="503"/>
      <c r="V5" s="503"/>
      <c r="W5" s="503"/>
      <c r="X5" s="503"/>
      <c r="Y5" s="503"/>
      <c r="Z5" s="503"/>
      <c r="AA5" s="503"/>
      <c r="AB5" s="503"/>
      <c r="AC5" s="503"/>
      <c r="AD5" s="503"/>
      <c r="AE5" s="503"/>
      <c r="AF5" s="503"/>
      <c r="AG5" s="503"/>
      <c r="AH5" s="503"/>
      <c r="AI5" s="503"/>
      <c r="AJ5" s="503"/>
      <c r="AK5" s="503"/>
      <c r="AL5" s="503"/>
      <c r="AM5" s="503"/>
      <c r="AN5" s="503"/>
    </row>
    <row r="6" spans="1:40" s="119" customFormat="1">
      <c r="A6" s="509"/>
      <c r="B6" s="510"/>
      <c r="C6" s="509"/>
      <c r="D6" s="509"/>
      <c r="E6" s="509"/>
      <c r="F6" s="509"/>
      <c r="G6" s="509"/>
      <c r="H6" s="509"/>
      <c r="I6" s="509"/>
      <c r="J6" s="509"/>
      <c r="K6" s="509"/>
      <c r="L6" s="509"/>
      <c r="M6" s="509"/>
      <c r="N6" s="509"/>
      <c r="O6" s="509"/>
      <c r="P6" s="509"/>
      <c r="Q6" s="509"/>
      <c r="R6" s="509"/>
      <c r="S6" s="509"/>
      <c r="T6" s="509"/>
      <c r="U6" s="509"/>
      <c r="V6" s="509"/>
      <c r="W6" s="509"/>
      <c r="X6" s="509"/>
      <c r="Y6" s="509"/>
      <c r="Z6" s="509"/>
      <c r="AA6" s="509"/>
      <c r="AB6" s="509"/>
      <c r="AC6" s="509"/>
      <c r="AD6" s="509"/>
      <c r="AE6" s="509"/>
      <c r="AF6" s="509"/>
      <c r="AG6" s="509"/>
      <c r="AH6" s="509"/>
      <c r="AI6" s="509"/>
      <c r="AJ6" s="509"/>
      <c r="AK6" s="509"/>
      <c r="AL6" s="509"/>
      <c r="AM6" s="509"/>
      <c r="AN6" s="509"/>
    </row>
    <row r="7" spans="1:40" s="119" customFormat="1">
      <c r="A7" s="509"/>
      <c r="B7" s="510"/>
      <c r="C7" s="509"/>
      <c r="D7" s="509"/>
      <c r="E7" s="509"/>
      <c r="F7" s="509"/>
      <c r="G7" s="509"/>
      <c r="H7" s="509"/>
      <c r="I7" s="509"/>
      <c r="J7" s="509"/>
      <c r="K7" s="509"/>
      <c r="L7" s="509"/>
      <c r="M7" s="509"/>
      <c r="N7" s="509"/>
      <c r="O7" s="509"/>
      <c r="P7" s="509"/>
      <c r="Q7" s="509"/>
      <c r="R7" s="509"/>
      <c r="S7" s="509"/>
      <c r="T7" s="509"/>
      <c r="U7" s="509"/>
      <c r="V7" s="509"/>
      <c r="W7" s="509"/>
      <c r="X7" s="509"/>
      <c r="Y7" s="509"/>
      <c r="Z7" s="509"/>
      <c r="AA7" s="509"/>
      <c r="AB7" s="509"/>
      <c r="AC7" s="509"/>
      <c r="AD7" s="509"/>
      <c r="AE7" s="509"/>
      <c r="AF7" s="509"/>
      <c r="AG7" s="509"/>
      <c r="AH7" s="509"/>
      <c r="AI7" s="509"/>
      <c r="AJ7" s="509"/>
      <c r="AK7" s="509"/>
      <c r="AL7" s="509"/>
      <c r="AM7" s="509"/>
      <c r="AN7" s="509"/>
    </row>
    <row r="9" spans="1:40">
      <c r="G9" s="505"/>
      <c r="H9" s="505"/>
      <c r="I9" s="505"/>
      <c r="J9" s="505"/>
      <c r="K9" s="505"/>
      <c r="L9" s="505"/>
      <c r="M9" s="505"/>
      <c r="N9" s="505"/>
      <c r="O9" s="505"/>
      <c r="P9" s="505"/>
      <c r="Q9" s="505"/>
      <c r="R9" s="505"/>
      <c r="S9" s="505"/>
      <c r="T9" s="505"/>
      <c r="U9" s="505"/>
      <c r="V9" s="505"/>
    </row>
    <row r="10" spans="1:40" ht="17.25" thickBot="1">
      <c r="B10" s="567" t="s">
        <v>2926</v>
      </c>
      <c r="C10" s="567"/>
      <c r="D10" s="567"/>
      <c r="G10" s="505"/>
      <c r="H10" s="567" t="s">
        <v>2927</v>
      </c>
      <c r="I10" s="567"/>
      <c r="J10" s="567"/>
      <c r="K10" s="505"/>
      <c r="L10" s="567" t="s">
        <v>2928</v>
      </c>
      <c r="M10" s="567"/>
      <c r="N10" s="567"/>
      <c r="O10" s="505"/>
      <c r="P10" s="567" t="s">
        <v>2929</v>
      </c>
      <c r="Q10" s="567"/>
      <c r="R10" s="567"/>
      <c r="S10" s="505"/>
      <c r="T10" s="567" t="s">
        <v>2930</v>
      </c>
      <c r="U10" s="567"/>
      <c r="V10" s="567"/>
    </row>
    <row r="11" spans="1:40" ht="17.25" thickBot="1">
      <c r="B11" s="506">
        <v>0.99</v>
      </c>
      <c r="C11" s="507">
        <v>9.9000000000000005E-2</v>
      </c>
      <c r="D11" s="507">
        <v>9.9000000000000005E-2</v>
      </c>
      <c r="G11" s="508" t="s">
        <v>2931</v>
      </c>
      <c r="H11" s="507">
        <v>0.05</v>
      </c>
      <c r="I11" s="507">
        <v>0</v>
      </c>
      <c r="J11" s="507">
        <v>0.998</v>
      </c>
      <c r="K11" s="508"/>
      <c r="L11" s="507">
        <v>0.02</v>
      </c>
      <c r="M11" s="507">
        <v>0.02</v>
      </c>
      <c r="N11" s="507">
        <v>0.999</v>
      </c>
      <c r="O11" s="508"/>
      <c r="P11" s="507">
        <v>0.97599999999999998</v>
      </c>
      <c r="Q11" s="507">
        <v>9.8000000000000004E-2</v>
      </c>
      <c r="R11" s="507">
        <v>0.19500000000000001</v>
      </c>
      <c r="S11" s="508"/>
      <c r="T11" s="507">
        <v>0.02</v>
      </c>
      <c r="U11" s="507">
        <v>0.999</v>
      </c>
      <c r="V11" s="507">
        <v>0.02</v>
      </c>
    </row>
    <row r="12" spans="1:40">
      <c r="G12" s="502" t="s">
        <v>2932</v>
      </c>
      <c r="I12" s="371">
        <f>SUMPRODUCT($B$11:$D$11,H11:J11)</f>
        <v>0.14830199999999999</v>
      </c>
      <c r="J12" s="371"/>
      <c r="K12" s="371"/>
      <c r="L12" s="371"/>
      <c r="M12" s="371">
        <f t="shared" ref="M12:U12" si="0">SUMPRODUCT($B$11:$D$11,L11:N11)</f>
        <v>0.12068100000000001</v>
      </c>
      <c r="N12" s="371"/>
      <c r="O12" s="371"/>
      <c r="P12" s="371"/>
      <c r="Q12" s="371">
        <f t="shared" si="0"/>
        <v>0.99524699999999999</v>
      </c>
      <c r="R12" s="371"/>
      <c r="S12" s="371"/>
      <c r="T12" s="371"/>
      <c r="U12" s="371">
        <f t="shared" si="0"/>
        <v>0.120681</v>
      </c>
      <c r="V12" s="371"/>
    </row>
    <row r="13" spans="1:40">
      <c r="F13" s="142" t="s">
        <v>2933</v>
      </c>
      <c r="G13" s="505"/>
      <c r="I13" s="371">
        <f>EXP(I12)</f>
        <v>1.1598631221391058</v>
      </c>
      <c r="J13" s="371"/>
      <c r="K13" s="371"/>
      <c r="L13" s="371"/>
      <c r="M13" s="371">
        <f t="shared" ref="M13:U13" si="1">EXP(M12)</f>
        <v>1.128264938439193</v>
      </c>
      <c r="N13" s="371"/>
      <c r="O13" s="371"/>
      <c r="P13" s="371"/>
      <c r="Q13" s="371">
        <f t="shared" si="1"/>
        <v>2.7053924907048055</v>
      </c>
      <c r="R13" s="371"/>
      <c r="S13" s="371"/>
      <c r="T13" s="371"/>
      <c r="U13" s="371">
        <f t="shared" si="1"/>
        <v>1.128264938439193</v>
      </c>
      <c r="V13" s="371"/>
    </row>
    <row r="14" spans="1:40">
      <c r="I14" s="511">
        <f>I13/SUM($I$13,$M$13,$Q$13,$U$13)</f>
        <v>0.18946484225662091</v>
      </c>
      <c r="J14" s="511"/>
      <c r="K14" s="511"/>
      <c r="L14" s="511"/>
      <c r="M14" s="511">
        <f t="shared" ref="M14:U14" si="2">M13/SUM($I$13,$M$13,$Q$13,$U$13)</f>
        <v>0.18430324622341096</v>
      </c>
      <c r="N14" s="511"/>
      <c r="O14" s="511"/>
      <c r="P14" s="511"/>
      <c r="Q14" s="511">
        <f t="shared" si="2"/>
        <v>0.44192866529655717</v>
      </c>
      <c r="R14" s="511"/>
      <c r="S14" s="511"/>
      <c r="T14" s="511"/>
      <c r="U14" s="511">
        <f t="shared" si="2"/>
        <v>0.18430324622341096</v>
      </c>
    </row>
    <row r="15" spans="1:40" ht="17.25" thickBot="1">
      <c r="G15" s="505"/>
      <c r="H15" s="567" t="s">
        <v>2934</v>
      </c>
      <c r="I15" s="567"/>
      <c r="J15" s="567"/>
      <c r="K15" s="505"/>
      <c r="L15" s="567" t="s">
        <v>2935</v>
      </c>
      <c r="M15" s="567"/>
      <c r="N15" s="567"/>
      <c r="O15" s="505"/>
      <c r="P15" s="567" t="s">
        <v>2936</v>
      </c>
      <c r="Q15" s="567"/>
      <c r="R15" s="567"/>
      <c r="S15" s="505"/>
      <c r="T15" s="567" t="s">
        <v>2937</v>
      </c>
      <c r="U15" s="567"/>
      <c r="V15" s="567"/>
    </row>
    <row r="16" spans="1:40" ht="17.25" thickBot="1">
      <c r="G16" s="508" t="s">
        <v>2938</v>
      </c>
      <c r="H16" s="507">
        <v>1</v>
      </c>
      <c r="I16" s="507">
        <v>2</v>
      </c>
      <c r="J16" s="507">
        <v>5</v>
      </c>
      <c r="K16" s="508"/>
      <c r="L16" s="507">
        <v>1</v>
      </c>
      <c r="M16" s="507">
        <v>1</v>
      </c>
      <c r="N16" s="507">
        <v>5</v>
      </c>
      <c r="O16" s="508"/>
      <c r="P16" s="507">
        <v>3</v>
      </c>
      <c r="Q16" s="507">
        <v>2</v>
      </c>
      <c r="R16" s="507">
        <v>4</v>
      </c>
      <c r="S16" s="508"/>
      <c r="T16" s="507">
        <v>6</v>
      </c>
      <c r="U16" s="507">
        <v>1</v>
      </c>
      <c r="V16" s="507">
        <v>2</v>
      </c>
    </row>
    <row r="19" spans="2:41">
      <c r="N19" s="568" t="s">
        <v>2939</v>
      </c>
      <c r="O19" s="568"/>
      <c r="P19" s="568"/>
    </row>
    <row r="20" spans="2:41">
      <c r="N20" s="512">
        <f>$I$14*H16+$M$14*L16+$Q$14*P16+$U$14*T16</f>
        <v>2.8053735617101689</v>
      </c>
      <c r="O20" s="512">
        <f t="shared" ref="O20:P20" si="3">$I$14*I16+$M$14*M16+$Q$14*Q16+$U$14*U16</f>
        <v>1.631393507553178</v>
      </c>
      <c r="P20" s="512">
        <f t="shared" si="3"/>
        <v>4.0051615960332096</v>
      </c>
    </row>
    <row r="22" spans="2:41" ht="17.25" thickBot="1">
      <c r="B22" s="503"/>
      <c r="C22" s="504" t="s">
        <v>2940</v>
      </c>
      <c r="D22" s="503"/>
      <c r="E22" s="503"/>
      <c r="F22" s="503"/>
      <c r="G22" s="503"/>
      <c r="H22" s="513"/>
      <c r="I22" s="513" t="s">
        <v>2941</v>
      </c>
      <c r="J22" s="513"/>
      <c r="K22" s="503"/>
      <c r="L22" s="513"/>
      <c r="M22" s="513" t="s">
        <v>2942</v>
      </c>
      <c r="N22" s="513"/>
      <c r="O22" s="503"/>
      <c r="P22" s="513"/>
      <c r="Q22" s="513" t="s">
        <v>2943</v>
      </c>
      <c r="R22" s="513"/>
      <c r="S22" s="503"/>
      <c r="T22" s="513"/>
      <c r="U22" s="513" t="s">
        <v>2944</v>
      </c>
      <c r="V22" s="513"/>
      <c r="W22" s="503"/>
      <c r="X22" s="513"/>
      <c r="Y22" s="513" t="s">
        <v>2945</v>
      </c>
      <c r="Z22" s="513"/>
      <c r="AA22" s="503"/>
      <c r="AB22" s="503"/>
      <c r="AC22" s="503"/>
      <c r="AD22" s="503"/>
      <c r="AE22" s="503"/>
      <c r="AF22" s="503"/>
      <c r="AG22" s="503"/>
      <c r="AH22" s="503"/>
      <c r="AI22" s="503"/>
      <c r="AJ22" s="503"/>
      <c r="AK22" s="503"/>
      <c r="AL22" s="503"/>
      <c r="AM22" s="503"/>
      <c r="AN22" s="503"/>
      <c r="AO22" s="503"/>
    </row>
    <row r="23" spans="2:41" ht="17.25" thickBot="1">
      <c r="G23" s="514" t="s">
        <v>2931</v>
      </c>
      <c r="H23" s="515">
        <v>0.1</v>
      </c>
      <c r="I23" s="515">
        <v>0</v>
      </c>
      <c r="J23" s="515">
        <v>0.8</v>
      </c>
      <c r="K23" s="508"/>
      <c r="L23" s="515">
        <v>0.1</v>
      </c>
      <c r="M23" s="515">
        <v>0.9</v>
      </c>
      <c r="N23" s="515">
        <v>0</v>
      </c>
      <c r="O23" s="508"/>
      <c r="P23" s="515">
        <v>0</v>
      </c>
      <c r="Q23" s="515">
        <v>0.1</v>
      </c>
      <c r="R23" s="515">
        <v>0.8</v>
      </c>
      <c r="S23" s="508"/>
      <c r="T23" s="515">
        <v>0.2</v>
      </c>
      <c r="U23" s="515">
        <v>0.1</v>
      </c>
      <c r="V23" s="515">
        <v>0.6</v>
      </c>
      <c r="W23" s="508"/>
      <c r="X23" s="515">
        <v>0.9</v>
      </c>
      <c r="Y23" s="515">
        <v>0</v>
      </c>
      <c r="Z23" s="515">
        <v>0.1</v>
      </c>
    </row>
    <row r="27" spans="2:41">
      <c r="B27" s="4" t="s">
        <v>2948</v>
      </c>
    </row>
    <row r="29" spans="2:41">
      <c r="B29" t="s">
        <v>2946</v>
      </c>
    </row>
    <row r="30" spans="2:41">
      <c r="B30" t="s">
        <v>2947</v>
      </c>
    </row>
  </sheetData>
  <mergeCells count="10">
    <mergeCell ref="N19:P19"/>
    <mergeCell ref="H15:J15"/>
    <mergeCell ref="L15:N15"/>
    <mergeCell ref="P15:R15"/>
    <mergeCell ref="T15:V15"/>
    <mergeCell ref="B10:D10"/>
    <mergeCell ref="H10:J10"/>
    <mergeCell ref="L10:N10"/>
    <mergeCell ref="P10:R10"/>
    <mergeCell ref="T10:V10"/>
  </mergeCells>
  <phoneticPr fontId="5" type="noConversion"/>
  <hyperlinks>
    <hyperlink ref="B27" r:id="rId1" location="gid=1733448381" xr:uid="{00000000-0004-0000-4D00-000000000000}"/>
  </hyperlinks>
  <pageMargins left="0.7" right="0.7" top="0.75" bottom="0.75" header="0.3" footer="0.3"/>
  <pageSetup paperSize="9" orientation="portrait" verticalDpi="0" r:id="rId2"/>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E00-000000000000}">
  <dimension ref="A1"/>
  <sheetViews>
    <sheetView workbookViewId="0">
      <selection activeCell="W17" sqref="W17"/>
    </sheetView>
  </sheetViews>
  <sheetFormatPr defaultRowHeight="16.5"/>
  <sheetData/>
  <phoneticPr fontId="5" type="noConversion"/>
  <pageMargins left="0.7" right="0.7" top="0.75" bottom="0.75" header="0.3" footer="0.3"/>
  <pageSetup paperSize="9" orientation="portrait" verticalDpi="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U91"/>
  <sheetViews>
    <sheetView topLeftCell="A89" zoomScale="145" zoomScaleNormal="145" workbookViewId="0">
      <selection activeCell="G90" sqref="G90"/>
    </sheetView>
  </sheetViews>
  <sheetFormatPr defaultRowHeight="16.5"/>
  <cols>
    <col min="1" max="2" width="3.5" customWidth="1"/>
    <col min="3" max="4" width="5.75" customWidth="1"/>
    <col min="5" max="6" width="3.5" customWidth="1"/>
    <col min="7" max="7" width="9.625" customWidth="1"/>
    <col min="8" max="12" width="3.5" customWidth="1"/>
    <col min="13" max="13" width="3.25" customWidth="1"/>
    <col min="14" max="14" width="9" customWidth="1"/>
    <col min="15" max="18" width="5.875" style="15" customWidth="1"/>
  </cols>
  <sheetData>
    <row r="1" spans="1:21">
      <c r="A1" t="s">
        <v>47</v>
      </c>
    </row>
    <row r="2" spans="1:21">
      <c r="F2" s="13" t="s">
        <v>38</v>
      </c>
      <c r="G2" s="12"/>
      <c r="N2" s="518" t="s">
        <v>39</v>
      </c>
      <c r="O2" s="15" t="s">
        <v>40</v>
      </c>
      <c r="P2" s="15">
        <v>1</v>
      </c>
      <c r="Q2" s="15">
        <v>2</v>
      </c>
      <c r="R2" s="15">
        <v>3</v>
      </c>
      <c r="U2" t="s">
        <v>1456</v>
      </c>
    </row>
    <row r="3" spans="1:21">
      <c r="F3" s="13"/>
      <c r="G3" s="12"/>
      <c r="N3" s="518"/>
      <c r="O3" s="15" t="s">
        <v>38</v>
      </c>
      <c r="P3" s="15" t="s">
        <v>41</v>
      </c>
      <c r="Q3" s="15" t="s">
        <v>42</v>
      </c>
      <c r="R3" s="15" t="s">
        <v>43</v>
      </c>
      <c r="U3" t="s">
        <v>1457</v>
      </c>
    </row>
    <row r="4" spans="1:21">
      <c r="F4" s="13"/>
      <c r="G4" s="12"/>
    </row>
    <row r="5" spans="1:21">
      <c r="F5" s="13"/>
      <c r="G5" s="12"/>
      <c r="O5" s="15" t="s">
        <v>40</v>
      </c>
      <c r="P5" s="15">
        <v>1</v>
      </c>
      <c r="Q5" s="15">
        <v>2</v>
      </c>
      <c r="R5" s="15">
        <v>3</v>
      </c>
    </row>
    <row r="6" spans="1:21">
      <c r="F6" s="13"/>
      <c r="G6" s="12"/>
      <c r="O6" s="15" t="s">
        <v>38</v>
      </c>
      <c r="P6" s="16" t="s">
        <v>44</v>
      </c>
      <c r="Q6" s="16" t="s">
        <v>45</v>
      </c>
      <c r="R6" s="16" t="s">
        <v>46</v>
      </c>
    </row>
    <row r="7" spans="1:21" ht="17.25" thickBot="1">
      <c r="B7" s="10"/>
      <c r="C7" s="10"/>
      <c r="D7" s="10"/>
      <c r="E7" s="10"/>
      <c r="F7" s="11"/>
      <c r="G7" s="10"/>
      <c r="H7" s="10"/>
      <c r="I7" s="10"/>
      <c r="J7" s="10"/>
      <c r="K7" s="10"/>
      <c r="L7" s="10"/>
    </row>
    <row r="8" spans="1:21">
      <c r="F8" s="14"/>
      <c r="G8" s="12"/>
      <c r="L8" t="s">
        <v>37</v>
      </c>
    </row>
    <row r="9" spans="1:21">
      <c r="F9" s="13"/>
      <c r="G9" s="12"/>
    </row>
    <row r="10" spans="1:21">
      <c r="F10" s="13"/>
      <c r="G10" s="12"/>
    </row>
    <row r="11" spans="1:21">
      <c r="F11" s="13"/>
      <c r="G11" s="12"/>
    </row>
    <row r="12" spans="1:21">
      <c r="F12" s="13"/>
      <c r="G12" s="12"/>
    </row>
    <row r="13" spans="1:21">
      <c r="F13" s="13"/>
      <c r="G13" s="12"/>
    </row>
    <row r="16" spans="1:21">
      <c r="O16" s="15" t="s">
        <v>40</v>
      </c>
      <c r="P16" s="15">
        <v>1</v>
      </c>
      <c r="Q16" s="15">
        <v>2</v>
      </c>
      <c r="R16" s="15">
        <v>3</v>
      </c>
    </row>
    <row r="17" spans="2:18">
      <c r="O17" s="15" t="s">
        <v>38</v>
      </c>
      <c r="P17" s="16" t="s">
        <v>44</v>
      </c>
      <c r="Q17" s="16" t="s">
        <v>45</v>
      </c>
      <c r="R17" s="16" t="s">
        <v>46</v>
      </c>
    </row>
    <row r="18" spans="2:18">
      <c r="F18" s="13" t="s">
        <v>38</v>
      </c>
      <c r="G18" s="12"/>
    </row>
    <row r="19" spans="2:18">
      <c r="F19" s="13"/>
      <c r="G19" s="12"/>
    </row>
    <row r="20" spans="2:18">
      <c r="F20" s="13"/>
      <c r="G20" s="12"/>
    </row>
    <row r="21" spans="2:18">
      <c r="F21" s="13"/>
      <c r="G21" s="12"/>
    </row>
    <row r="22" spans="2:18">
      <c r="F22" s="13"/>
      <c r="G22" s="12"/>
    </row>
    <row r="23" spans="2:18" ht="17.25" thickBot="1">
      <c r="B23" s="10"/>
      <c r="C23" s="10"/>
      <c r="D23" s="10"/>
      <c r="E23" s="10"/>
      <c r="F23" s="11"/>
      <c r="G23" s="10"/>
      <c r="H23" s="10"/>
      <c r="I23" s="10"/>
      <c r="J23" s="10"/>
      <c r="K23" s="10"/>
      <c r="L23" s="10"/>
    </row>
    <row r="24" spans="2:18">
      <c r="F24" s="14"/>
      <c r="G24" s="12"/>
      <c r="L24" t="s">
        <v>37</v>
      </c>
    </row>
    <row r="25" spans="2:18">
      <c r="F25" s="13"/>
      <c r="G25" s="12"/>
    </row>
    <row r="26" spans="2:18">
      <c r="F26" s="13"/>
      <c r="G26" s="12"/>
    </row>
    <row r="27" spans="2:18">
      <c r="F27" s="13"/>
      <c r="G27" s="12"/>
    </row>
    <row r="28" spans="2:18">
      <c r="F28" s="13"/>
      <c r="G28" s="12"/>
    </row>
    <row r="29" spans="2:18">
      <c r="F29" s="13"/>
      <c r="G29" s="12"/>
    </row>
    <row r="34" spans="2:18">
      <c r="G34" s="13" t="s">
        <v>38</v>
      </c>
      <c r="H34" s="12"/>
    </row>
    <row r="35" spans="2:18">
      <c r="G35" s="13"/>
      <c r="H35" s="12"/>
    </row>
    <row r="36" spans="2:18">
      <c r="G36" s="13"/>
      <c r="H36" s="12"/>
    </row>
    <row r="37" spans="2:18">
      <c r="G37" s="13"/>
      <c r="H37" s="12"/>
    </row>
    <row r="38" spans="2:18">
      <c r="G38" s="13"/>
      <c r="H38" s="12"/>
    </row>
    <row r="39" spans="2:18" ht="17.25" thickBot="1">
      <c r="C39" s="10"/>
      <c r="D39" s="10"/>
      <c r="E39" s="10"/>
      <c r="F39" s="10"/>
      <c r="G39" s="11"/>
      <c r="H39" s="10"/>
      <c r="I39" s="10"/>
      <c r="J39" s="10"/>
      <c r="K39" s="10"/>
      <c r="L39" s="10"/>
      <c r="M39" s="10"/>
    </row>
    <row r="40" spans="2:18">
      <c r="G40" s="14"/>
      <c r="H40" s="12"/>
      <c r="M40" t="s">
        <v>37</v>
      </c>
    </row>
    <row r="41" spans="2:18">
      <c r="G41" s="13"/>
      <c r="H41" s="12"/>
    </row>
    <row r="42" spans="2:18">
      <c r="G42" s="13"/>
      <c r="H42" s="12"/>
    </row>
    <row r="43" spans="2:18">
      <c r="G43" s="13"/>
      <c r="H43" s="12"/>
    </row>
    <row r="44" spans="2:18">
      <c r="G44" s="13"/>
      <c r="H44" s="12"/>
    </row>
    <row r="45" spans="2:18">
      <c r="G45" s="13"/>
      <c r="H45" s="12"/>
    </row>
    <row r="48" spans="2:18" s="1" customFormat="1">
      <c r="B48" s="1" t="s">
        <v>83</v>
      </c>
      <c r="G48" s="1" t="s">
        <v>84</v>
      </c>
      <c r="O48" s="28"/>
      <c r="P48" s="28"/>
      <c r="Q48" s="28"/>
      <c r="R48" s="28"/>
    </row>
    <row r="50" spans="3:15">
      <c r="G50" s="13" t="s">
        <v>38</v>
      </c>
      <c r="H50" s="12"/>
      <c r="O50"/>
    </row>
    <row r="51" spans="3:15">
      <c r="G51" s="13"/>
      <c r="H51" s="12"/>
      <c r="O51"/>
    </row>
    <row r="52" spans="3:15">
      <c r="G52" s="13"/>
      <c r="H52" s="12"/>
      <c r="O52"/>
    </row>
    <row r="53" spans="3:15">
      <c r="G53" s="13"/>
      <c r="H53" s="12"/>
      <c r="O53"/>
    </row>
    <row r="54" spans="3:15">
      <c r="G54" s="13"/>
      <c r="H54" s="12"/>
      <c r="O54"/>
    </row>
    <row r="55" spans="3:15" ht="17.25" thickBot="1">
      <c r="C55" s="10"/>
      <c r="D55" s="10"/>
      <c r="E55" s="10"/>
      <c r="F55" s="10"/>
      <c r="G55" s="11"/>
      <c r="H55" s="10"/>
      <c r="I55" s="10"/>
      <c r="J55" s="10"/>
      <c r="K55" s="10"/>
      <c r="L55" s="10"/>
      <c r="M55" s="10"/>
      <c r="N55" s="12"/>
      <c r="O55" s="12"/>
    </row>
    <row r="56" spans="3:15">
      <c r="G56" s="14"/>
      <c r="H56" s="12"/>
      <c r="M56" t="s">
        <v>37</v>
      </c>
      <c r="O56"/>
    </row>
    <row r="57" spans="3:15">
      <c r="G57" s="13"/>
      <c r="H57" s="12"/>
      <c r="O57"/>
    </row>
    <row r="58" spans="3:15">
      <c r="G58" s="13"/>
      <c r="H58" s="12"/>
      <c r="O58"/>
    </row>
    <row r="59" spans="3:15">
      <c r="G59" s="13"/>
      <c r="H59" s="12"/>
      <c r="O59"/>
    </row>
    <row r="60" spans="3:15">
      <c r="G60" s="13"/>
      <c r="H60" s="12"/>
      <c r="O60"/>
    </row>
    <row r="61" spans="3:15">
      <c r="G61" s="13"/>
      <c r="H61" s="12"/>
      <c r="O61"/>
    </row>
    <row r="69" spans="2:18" s="1" customFormat="1">
      <c r="B69" s="1" t="s">
        <v>85</v>
      </c>
      <c r="G69" s="1" t="s">
        <v>86</v>
      </c>
      <c r="O69" s="28"/>
      <c r="P69" s="28"/>
      <c r="Q69" s="28"/>
      <c r="R69" s="28"/>
    </row>
    <row r="88" spans="3:18" s="1" customFormat="1">
      <c r="C88" s="1" t="s">
        <v>2472</v>
      </c>
      <c r="O88" s="28"/>
      <c r="P88" s="28"/>
      <c r="Q88" s="28"/>
      <c r="R88" s="28"/>
    </row>
    <row r="90" spans="3:18">
      <c r="C90">
        <v>-0.67</v>
      </c>
      <c r="D90">
        <v>0.80300000000000005</v>
      </c>
    </row>
    <row r="91" spans="3:18">
      <c r="G91" s="371">
        <f>SQRT(C90^2+D90^2)</f>
        <v>1.0458054312347016</v>
      </c>
    </row>
  </sheetData>
  <mergeCells count="1">
    <mergeCell ref="N2:N3"/>
  </mergeCells>
  <phoneticPr fontId="5" type="noConversion"/>
  <pageMargins left="0.7" right="0.7" top="0.75" bottom="0.75" header="0.3" footer="0.3"/>
  <pageSetup paperSize="9" orientation="portrait" r:id="rId1"/>
  <drawing r:id="rId2"/>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F00-000000000000}">
  <dimension ref="E25:O35"/>
  <sheetViews>
    <sheetView topLeftCell="G36" zoomScale="130" zoomScaleNormal="130" workbookViewId="0">
      <selection activeCell="T56" sqref="T56"/>
    </sheetView>
  </sheetViews>
  <sheetFormatPr defaultRowHeight="16.5"/>
  <sheetData>
    <row r="25" spans="5:15">
      <c r="F25" t="s">
        <v>2949</v>
      </c>
      <c r="G25">
        <v>4</v>
      </c>
      <c r="J25" t="s">
        <v>2952</v>
      </c>
      <c r="O25" s="3" t="s">
        <v>2959</v>
      </c>
    </row>
    <row r="26" spans="5:15">
      <c r="F26" t="s">
        <v>2881</v>
      </c>
      <c r="G26">
        <v>32</v>
      </c>
      <c r="J26">
        <f>G26*G27*3</f>
        <v>3072</v>
      </c>
    </row>
    <row r="27" spans="5:15">
      <c r="F27" t="s">
        <v>2951</v>
      </c>
      <c r="G27">
        <v>32</v>
      </c>
    </row>
    <row r="29" spans="5:15">
      <c r="E29" t="s">
        <v>2950</v>
      </c>
      <c r="F29">
        <f>G25^2</f>
        <v>16</v>
      </c>
    </row>
    <row r="30" spans="5:15">
      <c r="I30" t="s">
        <v>2956</v>
      </c>
      <c r="L30">
        <v>64</v>
      </c>
      <c r="M30" t="s">
        <v>2957</v>
      </c>
    </row>
    <row r="31" spans="5:15">
      <c r="E31" t="s">
        <v>2953</v>
      </c>
      <c r="F31">
        <f>F29*( (G26/G25) * (G27/G25) *3)</f>
        <v>3072</v>
      </c>
    </row>
    <row r="33" spans="5:8">
      <c r="E33" t="s">
        <v>2954</v>
      </c>
      <c r="F33">
        <f>(3*G26*G27)/F29</f>
        <v>192</v>
      </c>
    </row>
    <row r="35" spans="5:8">
      <c r="E35" t="s">
        <v>2955</v>
      </c>
      <c r="F35">
        <f>F29*L30</f>
        <v>1024</v>
      </c>
      <c r="H35" t="s">
        <v>2958</v>
      </c>
    </row>
  </sheetData>
  <phoneticPr fontId="5" type="noConversion"/>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R45"/>
  <sheetViews>
    <sheetView zoomScale="145" zoomScaleNormal="145" workbookViewId="0">
      <selection activeCell="B2" sqref="B2:L13"/>
    </sheetView>
  </sheetViews>
  <sheetFormatPr defaultRowHeight="16.5"/>
  <cols>
    <col min="1" max="6" width="3.5" customWidth="1"/>
    <col min="7" max="10" width="2.875" customWidth="1"/>
    <col min="11" max="12" width="3.5" customWidth="1"/>
    <col min="13" max="13" width="3.25" customWidth="1"/>
    <col min="14" max="14" width="9" customWidth="1"/>
    <col min="15" max="18" width="5.875" style="15" customWidth="1"/>
  </cols>
  <sheetData>
    <row r="1" spans="1:18">
      <c r="A1" t="s">
        <v>87</v>
      </c>
    </row>
    <row r="2" spans="1:18">
      <c r="F2" s="13" t="s">
        <v>38</v>
      </c>
      <c r="G2" s="12"/>
      <c r="N2" s="518"/>
    </row>
    <row r="3" spans="1:18">
      <c r="F3" s="13"/>
      <c r="G3" s="12"/>
      <c r="N3" s="518"/>
    </row>
    <row r="4" spans="1:18">
      <c r="F4" s="13"/>
      <c r="G4" s="12"/>
    </row>
    <row r="5" spans="1:18">
      <c r="F5" s="13"/>
      <c r="G5" s="12"/>
    </row>
    <row r="6" spans="1:18">
      <c r="F6" s="13"/>
      <c r="G6" s="12"/>
      <c r="P6" s="16"/>
      <c r="Q6" s="16"/>
      <c r="R6" s="16"/>
    </row>
    <row r="7" spans="1:18" ht="17.25" thickBot="1">
      <c r="B7" s="10"/>
      <c r="C7" s="10"/>
      <c r="D7" s="10"/>
      <c r="E7" s="10"/>
      <c r="F7" s="11"/>
      <c r="G7" s="10"/>
      <c r="H7" s="10"/>
      <c r="I7" s="10"/>
      <c r="J7" s="10"/>
      <c r="K7" s="10"/>
      <c r="L7" s="10"/>
    </row>
    <row r="8" spans="1:18">
      <c r="F8" s="14"/>
      <c r="G8" s="12"/>
      <c r="L8" t="s">
        <v>37</v>
      </c>
    </row>
    <row r="9" spans="1:18">
      <c r="F9" s="13"/>
      <c r="G9" s="12"/>
    </row>
    <row r="10" spans="1:18">
      <c r="F10" s="13"/>
      <c r="G10" s="12"/>
    </row>
    <row r="11" spans="1:18">
      <c r="F11" s="13"/>
      <c r="G11" s="12"/>
    </row>
    <row r="12" spans="1:18">
      <c r="F12" s="13"/>
      <c r="G12" s="12"/>
    </row>
    <row r="13" spans="1:18">
      <c r="F13" s="13"/>
      <c r="G13" s="12"/>
    </row>
    <row r="17" spans="2:18">
      <c r="P17" s="16"/>
      <c r="Q17" s="16"/>
      <c r="R17" s="16"/>
    </row>
    <row r="18" spans="2:18">
      <c r="F18" s="13" t="s">
        <v>38</v>
      </c>
      <c r="G18" s="12"/>
    </row>
    <row r="19" spans="2:18">
      <c r="F19" s="13"/>
      <c r="G19" s="12"/>
    </row>
    <row r="20" spans="2:18">
      <c r="F20" s="13"/>
      <c r="G20" s="12"/>
    </row>
    <row r="21" spans="2:18">
      <c r="F21" s="13"/>
      <c r="G21" s="12"/>
    </row>
    <row r="22" spans="2:18">
      <c r="F22" s="13"/>
      <c r="G22" s="12"/>
    </row>
    <row r="23" spans="2:18" ht="17.25" thickBot="1">
      <c r="B23" s="10"/>
      <c r="C23" s="10"/>
      <c r="D23" s="10"/>
      <c r="E23" s="10"/>
      <c r="F23" s="11"/>
      <c r="G23" s="10"/>
      <c r="H23" s="10"/>
      <c r="I23" s="10"/>
      <c r="J23" s="10"/>
      <c r="K23" s="10"/>
      <c r="L23" s="10"/>
    </row>
    <row r="24" spans="2:18">
      <c r="F24" s="14"/>
      <c r="G24" s="12"/>
      <c r="L24" t="s">
        <v>37</v>
      </c>
    </row>
    <row r="25" spans="2:18">
      <c r="F25" s="13"/>
      <c r="G25" s="12"/>
    </row>
    <row r="26" spans="2:18">
      <c r="F26" s="13"/>
      <c r="G26" s="12"/>
    </row>
    <row r="27" spans="2:18">
      <c r="F27" s="13"/>
      <c r="G27" s="12"/>
    </row>
    <row r="28" spans="2:18">
      <c r="F28" s="13"/>
      <c r="G28" s="12"/>
    </row>
    <row r="29" spans="2:18">
      <c r="F29" s="13"/>
      <c r="G29" s="12"/>
    </row>
    <row r="34" spans="3:13">
      <c r="G34" s="13" t="s">
        <v>38</v>
      </c>
      <c r="H34" s="12"/>
    </row>
    <row r="35" spans="3:13">
      <c r="G35" s="13"/>
      <c r="H35" s="12"/>
    </row>
    <row r="36" spans="3:13">
      <c r="G36" s="13"/>
      <c r="H36" s="12"/>
    </row>
    <row r="37" spans="3:13">
      <c r="G37" s="13"/>
      <c r="H37" s="12"/>
    </row>
    <row r="38" spans="3:13">
      <c r="G38" s="13"/>
      <c r="H38" s="12"/>
    </row>
    <row r="39" spans="3:13" ht="17.25" thickBot="1">
      <c r="C39" s="10"/>
      <c r="D39" s="10"/>
      <c r="E39" s="10"/>
      <c r="F39" s="10"/>
      <c r="G39" s="11"/>
      <c r="H39" s="10"/>
      <c r="I39" s="10"/>
      <c r="J39" s="10"/>
      <c r="K39" s="10"/>
      <c r="L39" s="10"/>
      <c r="M39" s="10"/>
    </row>
    <row r="40" spans="3:13">
      <c r="G40" s="14"/>
      <c r="H40" s="12"/>
      <c r="M40" t="s">
        <v>37</v>
      </c>
    </row>
    <row r="41" spans="3:13">
      <c r="G41" s="13"/>
      <c r="H41" s="12"/>
    </row>
    <row r="42" spans="3:13">
      <c r="G42" s="13"/>
      <c r="H42" s="12"/>
    </row>
    <row r="43" spans="3:13">
      <c r="G43" s="13"/>
      <c r="H43" s="12"/>
    </row>
    <row r="44" spans="3:13">
      <c r="G44" s="13"/>
      <c r="H44" s="12"/>
    </row>
    <row r="45" spans="3:13">
      <c r="G45" s="13"/>
      <c r="H45" s="12"/>
    </row>
  </sheetData>
  <mergeCells count="1">
    <mergeCell ref="N2:N3"/>
  </mergeCells>
  <phoneticPr fontId="5"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80</vt:i4>
      </vt:variant>
    </vt:vector>
  </HeadingPairs>
  <TitlesOfParts>
    <vt:vector size="80" baseType="lpstr">
      <vt:lpstr>컴퓨터과학기초</vt:lpstr>
      <vt:lpstr>AI_개론</vt:lpstr>
      <vt:lpstr>파이썬_분석개발환경설정</vt:lpstr>
      <vt:lpstr>numpy_pandas</vt:lpstr>
      <vt:lpstr>EDA</vt:lpstr>
      <vt:lpstr>기초수학_대수학(Algebra)</vt:lpstr>
      <vt:lpstr>자연상수</vt:lpstr>
      <vt:lpstr>선형대수</vt:lpstr>
      <vt:lpstr>기하학</vt:lpstr>
      <vt:lpstr>지수함수</vt:lpstr>
      <vt:lpstr>로그함수</vt:lpstr>
      <vt:lpstr>로그함수2</vt:lpstr>
      <vt:lpstr>통계기초</vt:lpstr>
      <vt:lpstr>확률통계</vt:lpstr>
      <vt:lpstr>머신러닝기초</vt:lpstr>
      <vt:lpstr>사이킷런</vt:lpstr>
      <vt:lpstr>MNIST데이터셋</vt:lpstr>
      <vt:lpstr>pivot_table</vt:lpstr>
      <vt:lpstr>상관_회귀</vt:lpstr>
      <vt:lpstr>예측모델</vt:lpstr>
      <vt:lpstr>모델선택방법론</vt:lpstr>
      <vt:lpstr>분류모델</vt:lpstr>
      <vt:lpstr>다항회귀_다중회귀</vt:lpstr>
      <vt:lpstr>미분공식</vt:lpstr>
      <vt:lpstr>퍼셉트론</vt:lpstr>
      <vt:lpstr>다층퍼셉트론</vt:lpstr>
      <vt:lpstr>활성화함수</vt:lpstr>
      <vt:lpstr>경사하강법_옵티마이저</vt:lpstr>
      <vt:lpstr>최적화</vt:lpstr>
      <vt:lpstr>모델설계_가이드</vt:lpstr>
      <vt:lpstr>회귀모델설계</vt:lpstr>
      <vt:lpstr>모델설계2</vt:lpstr>
      <vt:lpstr>희소행렬</vt:lpstr>
      <vt:lpstr>모델설계3</vt:lpstr>
      <vt:lpstr>모델설계4 </vt:lpstr>
      <vt:lpstr>모델설계5</vt:lpstr>
      <vt:lpstr>모델최적화</vt:lpstr>
      <vt:lpstr>제대로된 모델 만드는 방법</vt:lpstr>
      <vt:lpstr>케라스함수형API로유연성이높은모델만들기</vt:lpstr>
      <vt:lpstr>모델평가</vt:lpstr>
      <vt:lpstr>앙상블</vt:lpstr>
      <vt:lpstr>도커</vt:lpstr>
      <vt:lpstr>텐서플로우연습</vt:lpstr>
      <vt:lpstr>컨벌루션연산</vt:lpstr>
      <vt:lpstr>MNIST정규화</vt:lpstr>
      <vt:lpstr>CNN모델설계_MLP_MNIST</vt:lpstr>
      <vt:lpstr>CNN모델설계_MLP_CIFAR10</vt:lpstr>
      <vt:lpstr>CNN모델설계_CNN_MNIST</vt:lpstr>
      <vt:lpstr>CNN모델설계_CNN_MNIST (2)</vt:lpstr>
      <vt:lpstr>CNN모델설계_CNN_Fashin_MNIST</vt:lpstr>
      <vt:lpstr>CNN성별분류기</vt:lpstr>
      <vt:lpstr>순차데이터_텍스트_처리</vt:lpstr>
      <vt:lpstr>시계열데이터모델</vt:lpstr>
      <vt:lpstr>ARIMA1_암트랙데이터</vt:lpstr>
      <vt:lpstr>ARIMA1_암트랙데이터12지연까지확대</vt:lpstr>
      <vt:lpstr>잔차의 자기상관</vt:lpstr>
      <vt:lpstr>평활법</vt:lpstr>
      <vt:lpstr>텍스트_MLP_모델설계</vt:lpstr>
      <vt:lpstr>RNN</vt:lpstr>
      <vt:lpstr>텍스트_LSTM_모델설계</vt:lpstr>
      <vt:lpstr>텍스트_LSTM_모델설계_imdb</vt:lpstr>
      <vt:lpstr>텍스트_LSTM_CNN_모델설계 (2)</vt:lpstr>
      <vt:lpstr>텍스트_LSTM_CNN_모델설계 (3)</vt:lpstr>
      <vt:lpstr>GRU와 성능비교</vt:lpstr>
      <vt:lpstr>윈도우11_GPU설정</vt:lpstr>
      <vt:lpstr>오토인코더</vt:lpstr>
      <vt:lpstr>GAN</vt:lpstr>
      <vt:lpstr>데이터증강_전이학습</vt:lpstr>
      <vt:lpstr>ResNET</vt:lpstr>
      <vt:lpstr>컨벌루션신경망사례연구</vt:lpstr>
      <vt:lpstr>영상처리</vt:lpstr>
      <vt:lpstr>R-CNN_FAST_R-CNN_FASTER_RCNN</vt:lpstr>
      <vt:lpstr>성능척도</vt:lpstr>
      <vt:lpstr>분할성능척도</vt:lpstr>
      <vt:lpstr>전치컨볼루션</vt:lpstr>
      <vt:lpstr>FCN_UNet_DeepLap_DeepLabv3</vt:lpstr>
      <vt:lpstr>attention_transformer</vt:lpstr>
      <vt:lpstr>attention계산</vt:lpstr>
      <vt:lpstr>LLM_langchain_RAG</vt:lpstr>
      <vt:lpstr>ViT_DETR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2025-09-11T08:03:54Z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efc21122-f037-41b3-a7f6-a3dc7b791370</vt:lpwstr>
  </property>
</Properties>
</file>